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K:\ΣΤΟΙΧΕΙΑ ΤΡΙΜΗΝΙΑΙΑ\ΣΥΓΚΕΝΤΡΩΤΙΚΑ ΑΡΧΕΙΑ\IR Tool Website\2025\Q2.25\"/>
    </mc:Choice>
  </mc:AlternateContent>
  <xr:revisionPtr revIDLastSave="0" documentId="8_{7E3AEA11-566F-4312-9B79-22BC769FBA58}" xr6:coauthVersionLast="47" xr6:coauthVersionMax="47" xr10:uidLastSave="{00000000-0000-0000-0000-000000000000}"/>
  <bookViews>
    <workbookView xWindow="-108" yWindow="-108" windowWidth="23256" windowHeight="12576" tabRatio="670" xr2:uid="{00000000-000D-0000-FFFF-FFFF00000000}"/>
  </bookViews>
  <sheets>
    <sheet name="Cover " sheetId="22" r:id="rId1"/>
    <sheet name="Financial highlights" sheetId="49" r:id="rId2"/>
    <sheet name="EPS calculations" sheetId="50" r:id="rId3"/>
    <sheet name="Balance sheet" sheetId="33" r:id="rId4"/>
    <sheet name=" Analysis of selected BS items" sheetId="34" r:id="rId5"/>
    <sheet name="PL" sheetId="29" r:id="rId6"/>
    <sheet name="NII" sheetId="42" r:id="rId7"/>
    <sheet name="NFI" sheetId="41" r:id="rId8"/>
    <sheet name="OPEX" sheetId="43" r:id="rId9"/>
    <sheet name="PL segment view" sheetId="47" r:id="rId10"/>
    <sheet name="Performing loans" sheetId="48" r:id="rId11"/>
    <sheet name="Loan portfolio quality" sheetId="36" r:id="rId12"/>
    <sheet name="IFRS9 stages" sheetId="46" r:id="rId13"/>
    <sheet name="NPE flow decomposition" sheetId="51" r:id="rId14"/>
    <sheet name="Capital adequacy" sheetId="40" r:id="rId15"/>
    <sheet name="Debt securities" sheetId="52" r:id="rId16"/>
    <sheet name="Synthetic securitizations" sheetId="53" r:id="rId17"/>
    <sheet name="Other information" sheetId="35" r:id="rId18"/>
  </sheets>
  <definedNames>
    <definedName name="NPE_flow_decomposition">'Cover '!$E$30</definedName>
    <definedName name="_xlnm.Print_Area" localSheetId="4">' Analysis of selected BS items'!$A$1:$M$83</definedName>
    <definedName name="_xlnm.Print_Area" localSheetId="3">'Balance sheet'!$A$1:$O$56</definedName>
    <definedName name="_xlnm.Print_Area" localSheetId="14">'Capital adequacy'!$A$1:$M$38</definedName>
    <definedName name="_xlnm.Print_Area" localSheetId="0">'Cover '!$A$1:$G$56</definedName>
    <definedName name="_xlnm.Print_Area" localSheetId="15">'Debt securities'!$A$1:$N$28</definedName>
    <definedName name="_xlnm.Print_Area" localSheetId="2">'EPS calculations'!$A$1:$O$63</definedName>
    <definedName name="_xlnm.Print_Area" localSheetId="1">'Financial highlights'!$A$1:$O$74</definedName>
    <definedName name="_xlnm.Print_Area" localSheetId="12">'IFRS9 stages'!$A$1:$M$55</definedName>
    <definedName name="_xlnm.Print_Area" localSheetId="11">'Loan portfolio quality'!$A$1:$M$78</definedName>
    <definedName name="_xlnm.Print_Area" localSheetId="7">NFI!$A$1:$N$26</definedName>
    <definedName name="_xlnm.Print_Area" localSheetId="6">NII!$A$1:$M$49</definedName>
    <definedName name="_xlnm.Print_Area" localSheetId="13">'NPE flow decomposition'!$A$1:$M$32</definedName>
    <definedName name="_xlnm.Print_Area" localSheetId="8">OPEX!$A$1:$M$29</definedName>
    <definedName name="_xlnm.Print_Area" localSheetId="17">'Other information'!$A$1:$M$58</definedName>
    <definedName name="_xlnm.Print_Area" localSheetId="10">'Performing loans'!$A$1:$M$34</definedName>
    <definedName name="_xlnm.Print_Area" localSheetId="5">PL!$A$1:$M$59</definedName>
    <definedName name="_xlnm.Print_Area" localSheetId="9">'PL segment view'!$A$1:$L$31</definedName>
    <definedName name="_xlnm.Print_Area" localSheetId="16">'Synthetic securitizations'!$A$1:$J$20</definedName>
    <definedName name="_xlnm.Print_Titles" localSheetId="14">'Capital adequacy'!$B:$L</definedName>
    <definedName name="_xlnm.Print_Titles" localSheetId="17">'Other information'!$1:$6</definedName>
    <definedName name="_xlnm.Print_Titles" localSheetId="5">PL!$1:$3</definedName>
    <definedName name="_xlnm.Print_Titles" localSheetId="9">'PL segment view'!$1:$3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3" i="49" l="1"/>
  <c r="L15" i="51"/>
  <c r="N64" i="49" l="1"/>
  <c r="N63" i="49"/>
  <c r="F56" i="49" l="1"/>
  <c r="E23" i="47" l="1"/>
  <c r="E24" i="47"/>
  <c r="F24" i="47"/>
  <c r="F23" i="47"/>
  <c r="G21" i="47"/>
  <c r="C24" i="47"/>
  <c r="D23" i="47"/>
  <c r="C23" i="47"/>
  <c r="D24" i="47"/>
  <c r="L24" i="42" l="1"/>
  <c r="L16" i="42"/>
  <c r="L26" i="42" l="1"/>
  <c r="L51" i="36" l="1"/>
  <c r="L54" i="34"/>
  <c r="L52" i="36"/>
  <c r="L44" i="36"/>
  <c r="L45" i="36"/>
  <c r="L16" i="36"/>
  <c r="L17" i="36" s="1"/>
  <c r="L23" i="36"/>
  <c r="L24" i="36" s="1"/>
  <c r="L43" i="36"/>
  <c r="L30" i="36"/>
  <c r="L50" i="36"/>
  <c r="L74" i="34"/>
  <c r="L40" i="34"/>
  <c r="L34" i="34"/>
  <c r="L29" i="34"/>
  <c r="L47" i="34" l="1"/>
  <c r="L53" i="36"/>
  <c r="L47" i="36"/>
  <c r="L46" i="36"/>
  <c r="L31" i="36"/>
  <c r="L29" i="33" l="1"/>
  <c r="L54" i="36"/>
  <c r="N48" i="50"/>
  <c r="M48" i="50"/>
  <c r="N36" i="50"/>
  <c r="M36" i="50"/>
  <c r="N52" i="50"/>
  <c r="N27" i="50"/>
  <c r="M27" i="50"/>
  <c r="L16" i="48" l="1"/>
  <c r="L12" i="48" l="1"/>
  <c r="L20" i="48"/>
  <c r="N44" i="49" l="1"/>
  <c r="N42" i="49" l="1"/>
  <c r="N39" i="49"/>
  <c r="L54" i="49" l="1"/>
  <c r="N43" i="49"/>
  <c r="N54" i="49" s="1"/>
  <c r="L43" i="35" l="1"/>
  <c r="M22" i="41" l="1"/>
  <c r="L23" i="43" l="1"/>
  <c r="L25" i="43" s="1"/>
  <c r="L29" i="48" l="1"/>
  <c r="L11" i="51"/>
  <c r="K19" i="48"/>
  <c r="K12" i="43"/>
  <c r="K41" i="29"/>
  <c r="K15" i="34"/>
  <c r="N44" i="33"/>
  <c r="N43" i="33"/>
  <c r="N42" i="33"/>
  <c r="N41" i="33"/>
  <c r="N40" i="33"/>
  <c r="N39" i="33"/>
  <c r="N38" i="33"/>
  <c r="N36" i="33"/>
  <c r="N35" i="33"/>
  <c r="N34" i="33"/>
  <c r="N33" i="33"/>
  <c r="N32" i="33"/>
  <c r="N31" i="33"/>
  <c r="N27" i="33"/>
  <c r="N24" i="33"/>
  <c r="N23" i="33"/>
  <c r="N22" i="33"/>
  <c r="N21" i="33"/>
  <c r="N20" i="33"/>
  <c r="N19" i="33"/>
  <c r="N18" i="33"/>
  <c r="N17" i="33"/>
  <c r="N16" i="33"/>
  <c r="N15" i="33"/>
  <c r="N12" i="33"/>
  <c r="N11" i="33"/>
  <c r="K52" i="50"/>
  <c r="K54" i="49"/>
  <c r="K43" i="35" l="1"/>
  <c r="K16" i="34"/>
  <c r="K20" i="49"/>
  <c r="K60" i="49" s="1"/>
  <c r="L22" i="41"/>
  <c r="K45" i="50"/>
  <c r="K13" i="29"/>
  <c r="K15" i="51"/>
  <c r="L30" i="48"/>
  <c r="K22" i="29"/>
  <c r="K16" i="42"/>
  <c r="K21" i="50"/>
  <c r="K25" i="50" s="1"/>
  <c r="K28" i="50" s="1"/>
  <c r="K29" i="50" s="1"/>
  <c r="K16" i="29"/>
  <c r="K23" i="43"/>
  <c r="K25" i="43" s="1"/>
  <c r="K24" i="42"/>
  <c r="K40" i="34"/>
  <c r="K34" i="34"/>
  <c r="K72" i="36"/>
  <c r="K71" i="34"/>
  <c r="K44" i="36"/>
  <c r="K29" i="34"/>
  <c r="K61" i="34"/>
  <c r="K66" i="34" s="1"/>
  <c r="K54" i="34"/>
  <c r="K74" i="34"/>
  <c r="K71" i="36"/>
  <c r="K29" i="33"/>
  <c r="N29" i="33" s="1"/>
  <c r="K43" i="36"/>
  <c r="K51" i="36"/>
  <c r="K65" i="36"/>
  <c r="K52" i="36"/>
  <c r="K59" i="36"/>
  <c r="K23" i="36"/>
  <c r="K67" i="36" s="1"/>
  <c r="K30" i="36"/>
  <c r="K31" i="36" s="1"/>
  <c r="K50" i="36"/>
  <c r="K45" i="36"/>
  <c r="K57" i="36"/>
  <c r="K73" i="36"/>
  <c r="K16" i="36"/>
  <c r="K60" i="36" s="1"/>
  <c r="K40" i="36"/>
  <c r="K58" i="36"/>
  <c r="K64" i="36"/>
  <c r="K66" i="36"/>
  <c r="K16" i="48"/>
  <c r="K45" i="29"/>
  <c r="K47" i="29" s="1"/>
  <c r="K16" i="49"/>
  <c r="K25" i="34" l="1"/>
  <c r="K24" i="34"/>
  <c r="K22" i="34"/>
  <c r="K19" i="34"/>
  <c r="K20" i="34"/>
  <c r="K21" i="34"/>
  <c r="K78" i="34"/>
  <c r="K23" i="34"/>
  <c r="K47" i="34"/>
  <c r="K31" i="50"/>
  <c r="K34" i="50" s="1"/>
  <c r="K40" i="50" s="1"/>
  <c r="K46" i="50" s="1"/>
  <c r="K49" i="50" s="1"/>
  <c r="K50" i="50" s="1"/>
  <c r="K26" i="42"/>
  <c r="K22" i="49"/>
  <c r="K23" i="49" s="1"/>
  <c r="K29" i="49" s="1"/>
  <c r="K59" i="49"/>
  <c r="K64" i="34"/>
  <c r="K74" i="36"/>
  <c r="K12" i="48"/>
  <c r="K24" i="36"/>
  <c r="K68" i="36" s="1"/>
  <c r="K65" i="34"/>
  <c r="K17" i="36"/>
  <c r="K54" i="36" s="1"/>
  <c r="K53" i="36"/>
  <c r="K46" i="36"/>
  <c r="K75" i="36"/>
  <c r="K48" i="29"/>
  <c r="K46" i="29"/>
  <c r="K37" i="50" l="1"/>
  <c r="K38" i="50" s="1"/>
  <c r="K28" i="49"/>
  <c r="K36" i="49" s="1"/>
  <c r="K49" i="49" s="1"/>
  <c r="K67" i="34"/>
  <c r="K61" i="36"/>
  <c r="K47" i="36"/>
  <c r="K33" i="49" l="1"/>
  <c r="K35" i="49" s="1"/>
  <c r="K47" i="49" l="1"/>
  <c r="K55" i="49"/>
  <c r="K48" i="49"/>
  <c r="J44" i="36" l="1"/>
  <c r="K11" i="51"/>
  <c r="J15" i="34" l="1"/>
  <c r="J16" i="34" s="1"/>
  <c r="J25" i="34" s="1"/>
  <c r="J16" i="42"/>
  <c r="J40" i="34"/>
  <c r="J23" i="43"/>
  <c r="J25" i="43" s="1"/>
  <c r="J15" i="51"/>
  <c r="J34" i="34"/>
  <c r="K22" i="41"/>
  <c r="J16" i="48"/>
  <c r="J74" i="34"/>
  <c r="J71" i="34"/>
  <c r="J29" i="33"/>
  <c r="J54" i="34"/>
  <c r="J29" i="34"/>
  <c r="J59" i="36"/>
  <c r="J52" i="36"/>
  <c r="J61" i="34"/>
  <c r="J66" i="34" s="1"/>
  <c r="J73" i="36"/>
  <c r="J16" i="36"/>
  <c r="J60" i="36" s="1"/>
  <c r="J45" i="36"/>
  <c r="J51" i="36"/>
  <c r="J64" i="36"/>
  <c r="J58" i="36"/>
  <c r="J24" i="42"/>
  <c r="J50" i="36"/>
  <c r="J43" i="36"/>
  <c r="J23" i="36"/>
  <c r="J65" i="36"/>
  <c r="J71" i="36"/>
  <c r="J30" i="36"/>
  <c r="J66" i="36"/>
  <c r="J72" i="36"/>
  <c r="J57" i="36"/>
  <c r="J40" i="36"/>
  <c r="J11" i="51"/>
  <c r="J26" i="42" l="1"/>
  <c r="J23" i="34"/>
  <c r="J22" i="34"/>
  <c r="J24" i="34"/>
  <c r="J21" i="34"/>
  <c r="J19" i="34"/>
  <c r="J20" i="34"/>
  <c r="J78" i="34"/>
  <c r="K20" i="48"/>
  <c r="K29" i="48"/>
  <c r="K30" i="48" s="1"/>
  <c r="J47" i="34"/>
  <c r="J46" i="36"/>
  <c r="J65" i="34"/>
  <c r="J17" i="36"/>
  <c r="J61" i="36" s="1"/>
  <c r="J20" i="48"/>
  <c r="J64" i="34"/>
  <c r="J12" i="48"/>
  <c r="J29" i="48" s="1"/>
  <c r="J67" i="36"/>
  <c r="J24" i="36"/>
  <c r="J74" i="36"/>
  <c r="J53" i="36"/>
  <c r="J31" i="36"/>
  <c r="J30" i="48" l="1"/>
  <c r="J47" i="36"/>
  <c r="J67" i="34"/>
  <c r="J54" i="36"/>
  <c r="J75" i="36"/>
  <c r="J68" i="36"/>
  <c r="F25" i="47" l="1"/>
  <c r="I54" i="49" l="1"/>
  <c r="I15" i="34" l="1"/>
  <c r="I16" i="34" s="1"/>
  <c r="K58" i="49"/>
  <c r="K57" i="49"/>
  <c r="K53" i="49"/>
  <c r="K52" i="49"/>
  <c r="K51" i="49"/>
  <c r="K50" i="49"/>
  <c r="I45" i="29"/>
  <c r="J54" i="49"/>
  <c r="I43" i="35"/>
  <c r="I16" i="42"/>
  <c r="I41" i="29"/>
  <c r="I24" i="42"/>
  <c r="I23" i="43"/>
  <c r="I25" i="43" s="1"/>
  <c r="I15" i="51"/>
  <c r="I29" i="33"/>
  <c r="I29" i="34"/>
  <c r="I16" i="29"/>
  <c r="J22" i="41"/>
  <c r="I12" i="43"/>
  <c r="I13" i="29"/>
  <c r="I22" i="29"/>
  <c r="I21" i="50"/>
  <c r="I25" i="50" s="1"/>
  <c r="I28" i="50" s="1"/>
  <c r="I29" i="50" s="1"/>
  <c r="I45" i="50"/>
  <c r="I34" i="34"/>
  <c r="I40" i="34"/>
  <c r="I61" i="34"/>
  <c r="I64" i="34" s="1"/>
  <c r="I56" i="49"/>
  <c r="I16" i="36"/>
  <c r="I60" i="36" s="1"/>
  <c r="I12" i="48"/>
  <c r="I29" i="48" s="1"/>
  <c r="I30" i="48" s="1"/>
  <c r="I16" i="48"/>
  <c r="I20" i="48" s="1"/>
  <c r="I71" i="34"/>
  <c r="I54" i="34"/>
  <c r="I20" i="49"/>
  <c r="I60" i="49" s="1"/>
  <c r="I74" i="34"/>
  <c r="I23" i="36"/>
  <c r="I24" i="36" s="1"/>
  <c r="I43" i="36"/>
  <c r="I51" i="36"/>
  <c r="I65" i="36"/>
  <c r="I72" i="36"/>
  <c r="I16" i="49"/>
  <c r="I59" i="49" s="1"/>
  <c r="I52" i="36"/>
  <c r="I59" i="36"/>
  <c r="I45" i="36"/>
  <c r="I30" i="36"/>
  <c r="I74" i="36" s="1"/>
  <c r="I71" i="36"/>
  <c r="I50" i="36"/>
  <c r="I43" i="33"/>
  <c r="I57" i="36"/>
  <c r="I73" i="36"/>
  <c r="I44" i="36"/>
  <c r="I40" i="36"/>
  <c r="I58" i="36"/>
  <c r="I64" i="36"/>
  <c r="I66" i="36"/>
  <c r="I25" i="34" l="1"/>
  <c r="I20" i="34"/>
  <c r="I24" i="34"/>
  <c r="I19" i="34"/>
  <c r="I23" i="34"/>
  <c r="I22" i="34"/>
  <c r="I21" i="34"/>
  <c r="I26" i="42"/>
  <c r="I78" i="34"/>
  <c r="I47" i="34"/>
  <c r="I53" i="36"/>
  <c r="I46" i="36"/>
  <c r="I31" i="36"/>
  <c r="I75" i="36" s="1"/>
  <c r="I66" i="34"/>
  <c r="I65" i="34"/>
  <c r="I31" i="50"/>
  <c r="I34" i="50" s="1"/>
  <c r="I40" i="50" s="1"/>
  <c r="I46" i="50" s="1"/>
  <c r="I49" i="50" s="1"/>
  <c r="I50" i="50" s="1"/>
  <c r="I17" i="36"/>
  <c r="I67" i="36"/>
  <c r="I22" i="49"/>
  <c r="I28" i="49" s="1"/>
  <c r="I47" i="29"/>
  <c r="I48" i="29" s="1"/>
  <c r="I46" i="29"/>
  <c r="I68" i="36"/>
  <c r="I67" i="34" l="1"/>
  <c r="I54" i="36"/>
  <c r="I23" i="49"/>
  <c r="I29" i="49" s="1"/>
  <c r="I37" i="50"/>
  <c r="I38" i="50" s="1"/>
  <c r="I47" i="36"/>
  <c r="I61" i="36"/>
  <c r="I33" i="49"/>
  <c r="I36" i="49"/>
  <c r="I49" i="49" l="1"/>
  <c r="I55" i="49"/>
  <c r="I47" i="49"/>
  <c r="I35" i="49"/>
  <c r="M52" i="50"/>
  <c r="I48" i="49" l="1"/>
  <c r="C43" i="35" l="1"/>
  <c r="I11" i="51" l="1"/>
  <c r="H15" i="34"/>
  <c r="H16" i="34" l="1"/>
  <c r="H25" i="34" s="1"/>
  <c r="H41" i="29"/>
  <c r="H24" i="42"/>
  <c r="H54" i="34"/>
  <c r="H12" i="43"/>
  <c r="H23" i="43"/>
  <c r="H25" i="43" s="1"/>
  <c r="H15" i="51"/>
  <c r="H16" i="48"/>
  <c r="H20" i="48" s="1"/>
  <c r="H61" i="34"/>
  <c r="H66" i="34" s="1"/>
  <c r="H72" i="36"/>
  <c r="H22" i="29"/>
  <c r="H13" i="29"/>
  <c r="H12" i="48"/>
  <c r="H29" i="48" s="1"/>
  <c r="H30" i="48" s="1"/>
  <c r="H40" i="34"/>
  <c r="H34" i="34"/>
  <c r="H45" i="36"/>
  <c r="I22" i="41"/>
  <c r="H29" i="33"/>
  <c r="H23" i="36"/>
  <c r="H67" i="36" s="1"/>
  <c r="H43" i="33"/>
  <c r="H29" i="34"/>
  <c r="H71" i="34"/>
  <c r="H74" i="34"/>
  <c r="H16" i="42"/>
  <c r="H52" i="36"/>
  <c r="H59" i="36"/>
  <c r="H16" i="36"/>
  <c r="H60" i="36" s="1"/>
  <c r="H30" i="36"/>
  <c r="H31" i="36" s="1"/>
  <c r="H71" i="36"/>
  <c r="H50" i="36"/>
  <c r="H43" i="36"/>
  <c r="H65" i="36"/>
  <c r="H44" i="36"/>
  <c r="H66" i="36"/>
  <c r="H51" i="36"/>
  <c r="H73" i="36"/>
  <c r="H40" i="36"/>
  <c r="H58" i="36"/>
  <c r="H64" i="36"/>
  <c r="H57" i="36"/>
  <c r="H16" i="29"/>
  <c r="H23" i="34"/>
  <c r="H19" i="34"/>
  <c r="H24" i="34" l="1"/>
  <c r="H22" i="34"/>
  <c r="H21" i="34"/>
  <c r="H20" i="34"/>
  <c r="H65" i="34"/>
  <c r="H64" i="34"/>
  <c r="H53" i="36"/>
  <c r="H47" i="34"/>
  <c r="H78" i="34"/>
  <c r="H74" i="36"/>
  <c r="H24" i="36"/>
  <c r="H68" i="36" s="1"/>
  <c r="H26" i="42"/>
  <c r="H17" i="36"/>
  <c r="H54" i="36" s="1"/>
  <c r="H46" i="36"/>
  <c r="H75" i="36"/>
  <c r="H67" i="34" l="1"/>
  <c r="H47" i="36"/>
  <c r="H61" i="36"/>
  <c r="M64" i="49" l="1"/>
  <c r="M63" i="49"/>
  <c r="C54" i="34" l="1"/>
  <c r="E54" i="34"/>
  <c r="F54" i="34"/>
  <c r="G54" i="34"/>
  <c r="D54" i="34"/>
  <c r="C25" i="47" l="1"/>
  <c r="D13" i="47"/>
  <c r="D15" i="47" s="1"/>
  <c r="D26" i="47" s="1"/>
  <c r="C13" i="47"/>
  <c r="C15" i="47" s="1"/>
  <c r="C26" i="47" s="1"/>
  <c r="C19" i="47" l="1"/>
  <c r="C28" i="47" s="1"/>
  <c r="M44" i="49" l="1"/>
  <c r="M42" i="49"/>
  <c r="M39" i="49" l="1"/>
  <c r="I53" i="49"/>
  <c r="I52" i="49"/>
  <c r="I57" i="49"/>
  <c r="I58" i="49"/>
  <c r="H11" i="51" l="1"/>
  <c r="H22" i="41"/>
  <c r="G74" i="34"/>
  <c r="G15" i="34"/>
  <c r="G54" i="49"/>
  <c r="G16" i="34" l="1"/>
  <c r="G25" i="34" s="1"/>
  <c r="G41" i="29"/>
  <c r="G45" i="29"/>
  <c r="G46" i="29" s="1"/>
  <c r="G29" i="33"/>
  <c r="G24" i="34"/>
  <c r="G45" i="50"/>
  <c r="G52" i="36"/>
  <c r="G50" i="36"/>
  <c r="G21" i="50"/>
  <c r="G25" i="50" s="1"/>
  <c r="G16" i="29"/>
  <c r="G22" i="29"/>
  <c r="G12" i="43"/>
  <c r="G71" i="34"/>
  <c r="G78" i="34" s="1"/>
  <c r="G65" i="36"/>
  <c r="G43" i="36"/>
  <c r="G43" i="33"/>
  <c r="G23" i="34"/>
  <c r="G40" i="34"/>
  <c r="G34" i="34"/>
  <c r="G51" i="36"/>
  <c r="G56" i="49"/>
  <c r="G16" i="42"/>
  <c r="G61" i="34"/>
  <c r="G66" i="34" s="1"/>
  <c r="G30" i="36"/>
  <c r="G31" i="36" s="1"/>
  <c r="G13" i="29"/>
  <c r="G71" i="36"/>
  <c r="G24" i="42"/>
  <c r="G59" i="36"/>
  <c r="G29" i="34"/>
  <c r="G23" i="43"/>
  <c r="G25" i="43" s="1"/>
  <c r="G16" i="48"/>
  <c r="G20" i="48" s="1"/>
  <c r="G58" i="36"/>
  <c r="G15" i="51"/>
  <c r="G72" i="36"/>
  <c r="G23" i="36"/>
  <c r="G67" i="36" s="1"/>
  <c r="G44" i="36"/>
  <c r="G66" i="36"/>
  <c r="G45" i="36"/>
  <c r="G57" i="36"/>
  <c r="G73" i="36"/>
  <c r="G16" i="36"/>
  <c r="G60" i="36" s="1"/>
  <c r="G40" i="36"/>
  <c r="G64" i="36"/>
  <c r="G12" i="48"/>
  <c r="G29" i="48" s="1"/>
  <c r="G30" i="48" s="1"/>
  <c r="G20" i="34"/>
  <c r="G20" i="49"/>
  <c r="G60" i="49" s="1"/>
  <c r="G16" i="49"/>
  <c r="G59" i="49" s="1"/>
  <c r="G19" i="34" l="1"/>
  <c r="G22" i="34"/>
  <c r="G21" i="34"/>
  <c r="G47" i="29"/>
  <c r="G48" i="29" s="1"/>
  <c r="G26" i="42"/>
  <c r="G24" i="36"/>
  <c r="G68" i="36" s="1"/>
  <c r="G74" i="36"/>
  <c r="G17" i="36"/>
  <c r="G46" i="36"/>
  <c r="G31" i="50"/>
  <c r="G34" i="50" s="1"/>
  <c r="G40" i="50" s="1"/>
  <c r="G46" i="50" s="1"/>
  <c r="G49" i="50" s="1"/>
  <c r="G50" i="50" s="1"/>
  <c r="G28" i="50"/>
  <c r="G29" i="50" s="1"/>
  <c r="G65" i="34"/>
  <c r="G64" i="34"/>
  <c r="G47" i="34"/>
  <c r="G75" i="36"/>
  <c r="G53" i="36"/>
  <c r="G22" i="49"/>
  <c r="G28" i="49" s="1"/>
  <c r="G47" i="36" l="1"/>
  <c r="G61" i="36"/>
  <c r="G37" i="50"/>
  <c r="G38" i="50" s="1"/>
  <c r="G54" i="36"/>
  <c r="G67" i="34"/>
  <c r="G23" i="49"/>
  <c r="G29" i="49" s="1"/>
  <c r="G36" i="49"/>
  <c r="G53" i="49" s="1"/>
  <c r="G33" i="49"/>
  <c r="G47" i="49" s="1"/>
  <c r="G49" i="49" l="1"/>
  <c r="G35" i="49"/>
  <c r="G55" i="49"/>
  <c r="G50" i="49" l="1"/>
  <c r="G52" i="49"/>
  <c r="G48" i="49"/>
  <c r="F40" i="34" l="1"/>
  <c r="C40" i="34"/>
  <c r="D40" i="34"/>
  <c r="F34" i="34"/>
  <c r="C34" i="34"/>
  <c r="D34" i="34"/>
  <c r="E34" i="34"/>
  <c r="F29" i="34"/>
  <c r="C29" i="34"/>
  <c r="D29" i="34"/>
  <c r="E29" i="34"/>
  <c r="G11" i="47" l="1"/>
  <c r="K11" i="47" l="1"/>
  <c r="G12" i="47"/>
  <c r="K12" i="47" s="1"/>
  <c r="G16" i="47"/>
  <c r="K16" i="47" s="1"/>
  <c r="E13" i="47"/>
  <c r="E15" i="47" s="1"/>
  <c r="E26" i="47" s="1"/>
  <c r="G17" i="47"/>
  <c r="K17" i="47" s="1"/>
  <c r="G18" i="47"/>
  <c r="K18" i="47" s="1"/>
  <c r="F13" i="47"/>
  <c r="F15" i="47" s="1"/>
  <c r="F26" i="47" s="1"/>
  <c r="E25" i="47"/>
  <c r="D25" i="47"/>
  <c r="G14" i="47"/>
  <c r="G9" i="47"/>
  <c r="G23" i="47" s="1"/>
  <c r="I13" i="47"/>
  <c r="I15" i="47" s="1"/>
  <c r="G10" i="47"/>
  <c r="G24" i="47" s="1"/>
  <c r="I19" i="47" l="1"/>
  <c r="D19" i="47"/>
  <c r="D28" i="47" s="1"/>
  <c r="F19" i="47"/>
  <c r="F28" i="47" s="1"/>
  <c r="E19" i="47"/>
  <c r="E28" i="47" s="1"/>
  <c r="G13" i="47"/>
  <c r="K13" i="47" s="1"/>
  <c r="K9" i="47"/>
  <c r="G15" i="47"/>
  <c r="G26" i="47" s="1"/>
  <c r="G25" i="47"/>
  <c r="K14" i="47"/>
  <c r="K10" i="47"/>
  <c r="G19" i="47" l="1"/>
  <c r="G28" i="47" s="1"/>
  <c r="K25" i="47"/>
  <c r="K15" i="47"/>
  <c r="K19" i="47" l="1"/>
  <c r="F74" i="34" l="1"/>
  <c r="C74" i="34"/>
  <c r="D74" i="34"/>
  <c r="E74" i="34"/>
  <c r="F47" i="34"/>
  <c r="D47" i="34"/>
  <c r="C47" i="34"/>
  <c r="F15" i="34" l="1"/>
  <c r="F16" i="34" s="1"/>
  <c r="F41" i="29"/>
  <c r="F45" i="29"/>
  <c r="F46" i="29" s="1"/>
  <c r="F29" i="33"/>
  <c r="F71" i="34"/>
  <c r="F78" i="34" s="1"/>
  <c r="F21" i="50"/>
  <c r="F25" i="50" s="1"/>
  <c r="F28" i="50" s="1"/>
  <c r="F29" i="50" s="1"/>
  <c r="F16" i="29"/>
  <c r="F22" i="29"/>
  <c r="F13" i="29"/>
  <c r="F61" i="34"/>
  <c r="F66" i="34" s="1"/>
  <c r="F43" i="33"/>
  <c r="F25" i="34" l="1"/>
  <c r="F24" i="34"/>
  <c r="F22" i="34"/>
  <c r="F19" i="34"/>
  <c r="F23" i="34"/>
  <c r="F20" i="34"/>
  <c r="F21" i="34"/>
  <c r="F65" i="34"/>
  <c r="F64" i="34"/>
  <c r="F31" i="50"/>
  <c r="F47" i="29"/>
  <c r="F48" i="29" s="1"/>
  <c r="F34" i="50" l="1"/>
  <c r="F40" i="50" s="1"/>
  <c r="F46" i="50" s="1"/>
  <c r="F67" i="34"/>
  <c r="F49" i="50" l="1"/>
  <c r="F50" i="50" s="1"/>
  <c r="F37" i="50"/>
  <c r="F38" i="50" s="1"/>
  <c r="F11" i="43"/>
  <c r="F12" i="43" l="1"/>
  <c r="G11" i="51"/>
  <c r="F40" i="36"/>
  <c r="F66" i="36"/>
  <c r="F59" i="36"/>
  <c r="F16" i="36"/>
  <c r="F60" i="36" s="1"/>
  <c r="F15" i="51"/>
  <c r="G22" i="41"/>
  <c r="F24" i="42"/>
  <c r="F23" i="43"/>
  <c r="F25" i="43" s="1"/>
  <c r="F64" i="36"/>
  <c r="F72" i="36"/>
  <c r="F51" i="36"/>
  <c r="F44" i="36"/>
  <c r="F16" i="42"/>
  <c r="F23" i="36"/>
  <c r="F24" i="36" s="1"/>
  <c r="F52" i="36"/>
  <c r="F45" i="36"/>
  <c r="F30" i="36"/>
  <c r="F71" i="36"/>
  <c r="F58" i="36"/>
  <c r="F65" i="36"/>
  <c r="F73" i="36"/>
  <c r="F16" i="48"/>
  <c r="F12" i="48" l="1"/>
  <c r="F29" i="48" s="1"/>
  <c r="F30" i="48" s="1"/>
  <c r="F68" i="36"/>
  <c r="F57" i="36"/>
  <c r="F17" i="36"/>
  <c r="F47" i="36" s="1"/>
  <c r="F53" i="36"/>
  <c r="F50" i="36"/>
  <c r="F43" i="36"/>
  <c r="F26" i="42"/>
  <c r="F46" i="36"/>
  <c r="F67" i="36"/>
  <c r="F74" i="36"/>
  <c r="F20" i="48"/>
  <c r="F31" i="36"/>
  <c r="F75" i="36" s="1"/>
  <c r="F61" i="36" l="1"/>
  <c r="F54" i="36"/>
  <c r="G57" i="49" l="1"/>
  <c r="G58" i="49"/>
  <c r="E56" i="49" l="1"/>
  <c r="E54" i="49"/>
  <c r="E20" i="49"/>
  <c r="E60" i="49" s="1"/>
  <c r="E21" i="50"/>
  <c r="E25" i="50" s="1"/>
  <c r="E28" i="50" s="1"/>
  <c r="E29" i="50" s="1"/>
  <c r="E16" i="49"/>
  <c r="E59" i="49" s="1"/>
  <c r="E31" i="50" l="1"/>
  <c r="E34" i="50" s="1"/>
  <c r="E37" i="50" s="1"/>
  <c r="E38" i="50" s="1"/>
  <c r="E22" i="49"/>
  <c r="E23" i="49" l="1"/>
  <c r="E29" i="49" s="1"/>
  <c r="E40" i="50"/>
  <c r="E46" i="50" s="1"/>
  <c r="E28" i="49"/>
  <c r="E36" i="49" s="1"/>
  <c r="E12" i="43"/>
  <c r="E15" i="34" l="1"/>
  <c r="E16" i="34" s="1"/>
  <c r="E25" i="34" s="1"/>
  <c r="E41" i="29"/>
  <c r="E45" i="29"/>
  <c r="E46" i="29" s="1"/>
  <c r="E49" i="49"/>
  <c r="F22" i="41"/>
  <c r="E49" i="50"/>
  <c r="E50" i="50" s="1"/>
  <c r="E15" i="51"/>
  <c r="E33" i="49"/>
  <c r="E13" i="29"/>
  <c r="E16" i="48"/>
  <c r="E16" i="29"/>
  <c r="E61" i="34"/>
  <c r="E65" i="34" s="1"/>
  <c r="E24" i="34"/>
  <c r="E72" i="36"/>
  <c r="E43" i="33"/>
  <c r="E71" i="36"/>
  <c r="E51" i="36"/>
  <c r="E59" i="36"/>
  <c r="E16" i="36"/>
  <c r="E60" i="36" s="1"/>
  <c r="E16" i="42"/>
  <c r="E29" i="33"/>
  <c r="E23" i="36"/>
  <c r="E67" i="36" s="1"/>
  <c r="E22" i="29"/>
  <c r="E45" i="36"/>
  <c r="E23" i="43"/>
  <c r="E25" i="43" s="1"/>
  <c r="E71" i="34"/>
  <c r="E78" i="34" s="1"/>
  <c r="E52" i="36"/>
  <c r="E24" i="42"/>
  <c r="E30" i="36"/>
  <c r="E74" i="36" s="1"/>
  <c r="E43" i="36"/>
  <c r="E65" i="36"/>
  <c r="E50" i="36"/>
  <c r="E57" i="36"/>
  <c r="E73" i="36"/>
  <c r="E44" i="36"/>
  <c r="E66" i="36"/>
  <c r="E40" i="36"/>
  <c r="E58" i="36"/>
  <c r="E64" i="36"/>
  <c r="E19" i="34" l="1"/>
  <c r="E23" i="34"/>
  <c r="E20" i="34"/>
  <c r="E22" i="34"/>
  <c r="E21" i="34"/>
  <c r="E55" i="49"/>
  <c r="E47" i="49"/>
  <c r="E35" i="49"/>
  <c r="E66" i="34"/>
  <c r="E64" i="34"/>
  <c r="E20" i="48"/>
  <c r="E17" i="36"/>
  <c r="E61" i="36" s="1"/>
  <c r="E53" i="36"/>
  <c r="E12" i="48"/>
  <c r="E29" i="48" s="1"/>
  <c r="E30" i="48" s="1"/>
  <c r="E24" i="36"/>
  <c r="E46" i="36"/>
  <c r="E31" i="36"/>
  <c r="E26" i="42"/>
  <c r="E47" i="29"/>
  <c r="E48" i="29" s="1"/>
  <c r="E48" i="49" l="1"/>
  <c r="E54" i="36"/>
  <c r="E67" i="34"/>
  <c r="E47" i="36"/>
  <c r="E68" i="36"/>
  <c r="E75" i="36"/>
  <c r="D63" i="49" l="1"/>
  <c r="D15" i="34" l="1"/>
  <c r="D16" i="34" s="1"/>
  <c r="D20" i="34" s="1"/>
  <c r="E22" i="41"/>
  <c r="D23" i="43"/>
  <c r="D25" i="43" s="1"/>
  <c r="D24" i="42"/>
  <c r="D15" i="51"/>
  <c r="D23" i="36"/>
  <c r="D24" i="36" s="1"/>
  <c r="D16" i="42"/>
  <c r="D29" i="33"/>
  <c r="D59" i="36"/>
  <c r="D16" i="36"/>
  <c r="D60" i="36" s="1"/>
  <c r="D16" i="48"/>
  <c r="D71" i="34"/>
  <c r="D78" i="34" s="1"/>
  <c r="D52" i="36"/>
  <c r="D61" i="34"/>
  <c r="D66" i="34" s="1"/>
  <c r="D45" i="36"/>
  <c r="D12" i="48"/>
  <c r="D50" i="36"/>
  <c r="D43" i="33"/>
  <c r="D30" i="36"/>
  <c r="D74" i="36" s="1"/>
  <c r="D71" i="36"/>
  <c r="D51" i="36"/>
  <c r="D65" i="36"/>
  <c r="D72" i="36"/>
  <c r="D73" i="36"/>
  <c r="D40" i="36"/>
  <c r="D58" i="36"/>
  <c r="D64" i="36"/>
  <c r="D44" i="36"/>
  <c r="D66" i="36"/>
  <c r="D23" i="34" l="1"/>
  <c r="D21" i="34"/>
  <c r="D22" i="34"/>
  <c r="D25" i="34"/>
  <c r="D24" i="34"/>
  <c r="D19" i="34"/>
  <c r="D67" i="36"/>
  <c r="D26" i="42"/>
  <c r="D65" i="34"/>
  <c r="D64" i="34"/>
  <c r="D46" i="36"/>
  <c r="D17" i="36"/>
  <c r="D47" i="36" s="1"/>
  <c r="D57" i="36"/>
  <c r="D53" i="36"/>
  <c r="D20" i="48"/>
  <c r="D29" i="48"/>
  <c r="D30" i="48" s="1"/>
  <c r="D43" i="36"/>
  <c r="D31" i="36"/>
  <c r="D68" i="36"/>
  <c r="D54" i="36" l="1"/>
  <c r="D67" i="34"/>
  <c r="D61" i="36"/>
  <c r="D75" i="36"/>
  <c r="D56" i="49" l="1"/>
  <c r="E50" i="49" l="1"/>
  <c r="D54" i="49" l="1"/>
  <c r="E51" i="49"/>
  <c r="E53" i="49" l="1"/>
  <c r="E52" i="49"/>
  <c r="E57" i="49"/>
  <c r="E58" i="49"/>
  <c r="C21" i="50" l="1"/>
  <c r="C54" i="49"/>
  <c r="C57" i="49"/>
  <c r="C15" i="34"/>
  <c r="C41" i="29"/>
  <c r="C16" i="34" l="1"/>
  <c r="C20" i="34" s="1"/>
  <c r="C58" i="49"/>
  <c r="D22" i="41"/>
  <c r="C16" i="49"/>
  <c r="C59" i="49" s="1"/>
  <c r="C23" i="43"/>
  <c r="C25" i="43" s="1"/>
  <c r="C16" i="42"/>
  <c r="C71" i="34"/>
  <c r="C78" i="34" s="1"/>
  <c r="C20" i="49"/>
  <c r="C60" i="49" s="1"/>
  <c r="C56" i="49"/>
  <c r="C22" i="29"/>
  <c r="C13" i="29"/>
  <c r="C61" i="34"/>
  <c r="C65" i="34" s="1"/>
  <c r="C24" i="42"/>
  <c r="C29" i="33"/>
  <c r="C43" i="33"/>
  <c r="C22" i="34" l="1"/>
  <c r="C19" i="34"/>
  <c r="C24" i="34"/>
  <c r="C21" i="34"/>
  <c r="C23" i="34"/>
  <c r="C25" i="34"/>
  <c r="C26" i="42"/>
  <c r="C22" i="49"/>
  <c r="C64" i="34"/>
  <c r="C66" i="34"/>
  <c r="C28" i="49" l="1"/>
  <c r="C36" i="49" s="1"/>
  <c r="C23" i="49"/>
  <c r="C29" i="49" s="1"/>
  <c r="C67" i="34"/>
  <c r="C53" i="49" l="1"/>
  <c r="C51" i="49"/>
  <c r="C49" i="49"/>
  <c r="C15" i="51"/>
  <c r="C12" i="48"/>
  <c r="C29" i="48" s="1"/>
  <c r="C30" i="48" s="1"/>
  <c r="C51" i="36"/>
  <c r="C44" i="36"/>
  <c r="C45" i="36"/>
  <c r="C52" i="36"/>
  <c r="C16" i="36"/>
  <c r="C60" i="36" s="1"/>
  <c r="C23" i="36"/>
  <c r="C67" i="36" s="1"/>
  <c r="C72" i="36"/>
  <c r="C66" i="36"/>
  <c r="C30" i="36"/>
  <c r="C31" i="36" s="1"/>
  <c r="C16" i="48"/>
  <c r="C58" i="36"/>
  <c r="C65" i="36"/>
  <c r="C73" i="36"/>
  <c r="C59" i="36"/>
  <c r="C17" i="36" l="1"/>
  <c r="C20" i="48"/>
  <c r="C74" i="36"/>
  <c r="C53" i="36"/>
  <c r="C46" i="36"/>
  <c r="C24" i="36"/>
  <c r="C43" i="36"/>
  <c r="C50" i="36"/>
  <c r="C54" i="36" l="1"/>
  <c r="C47" i="36"/>
  <c r="C40" i="36" l="1"/>
  <c r="C64" i="36"/>
  <c r="C71" i="36"/>
  <c r="C57" i="36"/>
  <c r="C75" i="36" l="1"/>
  <c r="C61" i="36"/>
  <c r="C68" i="36"/>
  <c r="D22" i="29" l="1"/>
  <c r="D20" i="49"/>
  <c r="D57" i="49"/>
  <c r="D58" i="49"/>
  <c r="D60" i="49" l="1"/>
  <c r="D16" i="49"/>
  <c r="D13" i="29"/>
  <c r="D21" i="50"/>
  <c r="D22" i="49" l="1"/>
  <c r="D23" i="49" s="1"/>
  <c r="D29" i="49" s="1"/>
  <c r="D59" i="49"/>
  <c r="D28" i="49" l="1"/>
  <c r="D36" i="49" s="1"/>
  <c r="D53" i="49" s="1"/>
  <c r="D49" i="49" l="1"/>
  <c r="D51" i="49"/>
  <c r="D33" i="49"/>
  <c r="D25" i="50"/>
  <c r="D41" i="29" l="1"/>
  <c r="D55" i="49"/>
  <c r="D47" i="49"/>
  <c r="D35" i="49"/>
  <c r="D31" i="50"/>
  <c r="D28" i="50"/>
  <c r="D29" i="50" s="1"/>
  <c r="D52" i="49" l="1"/>
  <c r="D50" i="49"/>
  <c r="D48" i="49"/>
  <c r="C25" i="50" l="1"/>
  <c r="C33" i="49"/>
  <c r="C47" i="49" s="1"/>
  <c r="C55" i="49" l="1"/>
  <c r="C35" i="49"/>
  <c r="C31" i="50"/>
  <c r="C28" i="50"/>
  <c r="C29" i="50" s="1"/>
  <c r="C52" i="49" l="1"/>
  <c r="C50" i="49"/>
  <c r="C48" i="49"/>
  <c r="D12" i="43" l="1"/>
  <c r="C12" i="43" l="1"/>
  <c r="D34" i="50" l="1"/>
  <c r="D45" i="29" l="1"/>
  <c r="D16" i="29"/>
  <c r="D46" i="29"/>
  <c r="D37" i="50"/>
  <c r="D38" i="50" s="1"/>
  <c r="D40" i="50"/>
  <c r="D46" i="50" s="1"/>
  <c r="D49" i="50" l="1"/>
  <c r="D50" i="50" s="1"/>
  <c r="D47" i="29"/>
  <c r="D48" i="29" s="1"/>
  <c r="C45" i="29" l="1"/>
  <c r="C46" i="29" s="1"/>
  <c r="C16" i="29"/>
  <c r="C34" i="50"/>
  <c r="C40" i="50" s="1"/>
  <c r="C46" i="50" s="1"/>
  <c r="C49" i="50" s="1"/>
  <c r="C50" i="50" s="1"/>
  <c r="C47" i="29" l="1"/>
  <c r="C48" i="29" s="1"/>
  <c r="C37" i="50"/>
  <c r="C38" i="50" s="1"/>
  <c r="G51" i="49" l="1"/>
  <c r="F54" i="49"/>
  <c r="F20" i="49" l="1"/>
  <c r="F57" i="49"/>
  <c r="F58" i="49"/>
  <c r="F60" i="49" l="1"/>
  <c r="F16" i="49"/>
  <c r="F22" i="49" l="1"/>
  <c r="F23" i="49" s="1"/>
  <c r="F29" i="49" s="1"/>
  <c r="F59" i="49"/>
  <c r="F28" i="49"/>
  <c r="F36" i="49" s="1"/>
  <c r="F53" i="49" s="1"/>
  <c r="F49" i="49" l="1"/>
  <c r="F51" i="49"/>
  <c r="F33" i="49"/>
  <c r="F35" i="49" l="1"/>
  <c r="F47" i="49"/>
  <c r="F55" i="49"/>
  <c r="F52" i="49" l="1"/>
  <c r="F50" i="49"/>
  <c r="F48" i="49"/>
  <c r="E40" i="34" l="1"/>
  <c r="E47" i="34" s="1"/>
  <c r="M40" i="49" l="1"/>
  <c r="M41" i="49" l="1"/>
  <c r="M56" i="49" s="1"/>
  <c r="H56" i="49" l="1"/>
  <c r="I51" i="49" l="1"/>
  <c r="M43" i="49"/>
  <c r="M54" i="49" s="1"/>
  <c r="I50" i="49"/>
  <c r="H54" i="49"/>
  <c r="H57" i="49" l="1"/>
  <c r="H20" i="49"/>
  <c r="H60" i="49" l="1"/>
  <c r="H58" i="49"/>
  <c r="H16" i="49"/>
  <c r="H22" i="49" s="1"/>
  <c r="H59" i="49" l="1"/>
  <c r="H28" i="49"/>
  <c r="H23" i="49"/>
  <c r="H29" i="49" s="1"/>
  <c r="H36" i="49" l="1"/>
  <c r="H53" i="49" s="1"/>
  <c r="H49" i="49" l="1"/>
  <c r="H51" i="49"/>
  <c r="H43" i="35" l="1"/>
  <c r="G43" i="35" l="1"/>
  <c r="F43" i="35" l="1"/>
  <c r="E43" i="35" l="1"/>
  <c r="D43" i="35" l="1"/>
  <c r="L58" i="36" l="1"/>
  <c r="L72" i="36"/>
  <c r="L65" i="36"/>
  <c r="L15" i="34" l="1"/>
  <c r="L16" i="34" s="1"/>
  <c r="L73" i="36" l="1"/>
  <c r="L59" i="36"/>
  <c r="L66" i="36"/>
  <c r="L23" i="34"/>
  <c r="L24" i="34"/>
  <c r="L25" i="34"/>
  <c r="L21" i="34"/>
  <c r="L20" i="34"/>
  <c r="L22" i="34"/>
  <c r="L19" i="34"/>
  <c r="L60" i="36" l="1"/>
  <c r="L74" i="36"/>
  <c r="L67" i="36"/>
  <c r="J43" i="35" l="1"/>
  <c r="J22" i="29" l="1"/>
  <c r="J45" i="50"/>
  <c r="J12" i="43"/>
  <c r="J20" i="49"/>
  <c r="J60" i="49" l="1"/>
  <c r="J16" i="29"/>
  <c r="J21" i="50"/>
  <c r="J25" i="50" s="1"/>
  <c r="J16" i="49"/>
  <c r="J22" i="49" s="1"/>
  <c r="J57" i="49"/>
  <c r="J58" i="49"/>
  <c r="J13" i="29"/>
  <c r="J59" i="49" l="1"/>
  <c r="J23" i="49"/>
  <c r="J29" i="49" s="1"/>
  <c r="J28" i="49"/>
  <c r="J28" i="50"/>
  <c r="J29" i="50" s="1"/>
  <c r="J31" i="50"/>
  <c r="J34" i="50" s="1"/>
  <c r="J40" i="50" l="1"/>
  <c r="J46" i="50" s="1"/>
  <c r="J49" i="50" s="1"/>
  <c r="J50" i="50" s="1"/>
  <c r="J37" i="50"/>
  <c r="J38" i="50" s="1"/>
  <c r="J33" i="49"/>
  <c r="J35" i="49" s="1"/>
  <c r="J36" i="49"/>
  <c r="J52" i="49" l="1"/>
  <c r="J48" i="49"/>
  <c r="J50" i="49"/>
  <c r="J53" i="49"/>
  <c r="J51" i="49"/>
  <c r="J49" i="49"/>
  <c r="J55" i="49"/>
  <c r="J47" i="49"/>
  <c r="J41" i="29" l="1"/>
  <c r="J45" i="29"/>
  <c r="J47" i="29" l="1"/>
  <c r="J48" i="29" s="1"/>
  <c r="J46" i="29"/>
  <c r="H45" i="29" l="1"/>
  <c r="H33" i="49"/>
  <c r="H45" i="50"/>
  <c r="H21" i="50" l="1"/>
  <c r="H25" i="50" s="1"/>
  <c r="H28" i="50" s="1"/>
  <c r="H29" i="50" s="1"/>
  <c r="H35" i="49"/>
  <c r="H47" i="49"/>
  <c r="H55" i="49"/>
  <c r="H46" i="29"/>
  <c r="H47" i="29"/>
  <c r="H48" i="29" s="1"/>
  <c r="H31" i="50" l="1"/>
  <c r="H34" i="50" s="1"/>
  <c r="H37" i="50" s="1"/>
  <c r="H38" i="50" s="1"/>
  <c r="H50" i="49"/>
  <c r="H52" i="49"/>
  <c r="H48" i="49"/>
  <c r="H40" i="50" l="1"/>
  <c r="H46" i="50" s="1"/>
  <c r="H49" i="50" s="1"/>
  <c r="H50" i="50" s="1"/>
  <c r="I23" i="47" l="1"/>
  <c r="I24" i="47"/>
  <c r="K21" i="47"/>
  <c r="I26" i="47"/>
  <c r="I28" i="47"/>
  <c r="K23" i="47" l="1"/>
  <c r="K24" i="47"/>
  <c r="K26" i="47"/>
  <c r="K28" i="47"/>
  <c r="N41" i="49" l="1"/>
  <c r="N40" i="49"/>
  <c r="L56" i="49" l="1"/>
  <c r="N56" i="49"/>
  <c r="K56" i="49" l="1"/>
  <c r="L22" i="29" l="1"/>
  <c r="L45" i="50"/>
  <c r="L16" i="29"/>
  <c r="L20" i="49"/>
  <c r="L12" i="43"/>
  <c r="L60" i="49" l="1"/>
  <c r="L16" i="49"/>
  <c r="L22" i="49" s="1"/>
  <c r="L57" i="49"/>
  <c r="L58" i="49"/>
  <c r="L21" i="50"/>
  <c r="L25" i="50" s="1"/>
  <c r="L13" i="29"/>
  <c r="L28" i="50" l="1"/>
  <c r="L29" i="50" s="1"/>
  <c r="L31" i="50"/>
  <c r="L34" i="50" s="1"/>
  <c r="L59" i="49"/>
  <c r="L23" i="49"/>
  <c r="L29" i="49" s="1"/>
  <c r="L28" i="49"/>
  <c r="L36" i="49" l="1"/>
  <c r="L33" i="49"/>
  <c r="L37" i="50"/>
  <c r="L38" i="50" s="1"/>
  <c r="L40" i="50"/>
  <c r="L46" i="50" s="1"/>
  <c r="L49" i="50" s="1"/>
  <c r="L50" i="50" s="1"/>
  <c r="L35" i="49" l="1"/>
  <c r="L55" i="49"/>
  <c r="L47" i="49"/>
  <c r="L49" i="49"/>
  <c r="L51" i="49"/>
  <c r="L53" i="49"/>
  <c r="L52" i="49" l="1"/>
  <c r="L50" i="49"/>
  <c r="L48" i="49"/>
  <c r="L41" i="29" l="1"/>
  <c r="L45" i="29"/>
  <c r="L46" i="29" l="1"/>
  <c r="L47" i="29"/>
  <c r="L48" i="29" s="1"/>
  <c r="N45" i="50" l="1"/>
  <c r="N20" i="49" l="1"/>
  <c r="N58" i="49"/>
  <c r="N21" i="50" l="1"/>
  <c r="N25" i="50" s="1"/>
  <c r="N57" i="49"/>
  <c r="N16" i="49"/>
  <c r="N60" i="49"/>
  <c r="N22" i="49" l="1"/>
  <c r="N59" i="49"/>
  <c r="N31" i="50"/>
  <c r="N34" i="50" s="1"/>
  <c r="N28" i="50"/>
  <c r="N29" i="50" s="1"/>
  <c r="N37" i="50" l="1"/>
  <c r="N38" i="50" s="1"/>
  <c r="N40" i="50"/>
  <c r="N46" i="50" s="1"/>
  <c r="N49" i="50" s="1"/>
  <c r="N50" i="50" s="1"/>
  <c r="N28" i="49"/>
  <c r="N23" i="49"/>
  <c r="N29" i="49" s="1"/>
  <c r="N33" i="49" l="1"/>
  <c r="N36" i="49"/>
  <c r="N53" i="49" l="1"/>
  <c r="N51" i="49"/>
  <c r="N49" i="49"/>
  <c r="N47" i="49"/>
  <c r="N55" i="49"/>
  <c r="N35" i="49"/>
  <c r="N52" i="49" l="1"/>
  <c r="N48" i="49"/>
  <c r="N50" i="49"/>
  <c r="J56" i="49" l="1"/>
  <c r="M20" i="49" l="1"/>
  <c r="M58" i="49" l="1"/>
  <c r="M45" i="50" l="1"/>
  <c r="M57" i="49"/>
  <c r="M16" i="49"/>
  <c r="M60" i="49"/>
  <c r="M21" i="50"/>
  <c r="M25" i="50" s="1"/>
  <c r="M28" i="50" l="1"/>
  <c r="M29" i="50" s="1"/>
  <c r="M31" i="50"/>
  <c r="M34" i="50" s="1"/>
  <c r="M22" i="49"/>
  <c r="M59" i="49"/>
  <c r="M23" i="49" l="1"/>
  <c r="M29" i="49" s="1"/>
  <c r="M28" i="49"/>
  <c r="M40" i="50"/>
  <c r="M46" i="50" s="1"/>
  <c r="M49" i="50" s="1"/>
  <c r="M50" i="50" s="1"/>
  <c r="M37" i="50"/>
  <c r="M38" i="50" s="1"/>
  <c r="M36" i="49" l="1"/>
  <c r="M33" i="49"/>
  <c r="M55" i="49" l="1"/>
  <c r="M47" i="49"/>
  <c r="M35" i="49"/>
  <c r="M49" i="49"/>
  <c r="M53" i="49"/>
  <c r="M51" i="49"/>
  <c r="M50" i="49" l="1"/>
  <c r="M48" i="49"/>
  <c r="M52" i="49"/>
  <c r="L71" i="34" l="1"/>
  <c r="L78" i="34" s="1"/>
  <c r="L61" i="34" l="1"/>
  <c r="L64" i="34" s="1"/>
  <c r="L66" i="34" l="1"/>
  <c r="L65" i="34"/>
  <c r="L67" i="34" s="1"/>
  <c r="L71" i="36" l="1"/>
  <c r="L57" i="36"/>
  <c r="L40" i="36"/>
  <c r="L64" i="36"/>
  <c r="L75" i="36" l="1"/>
  <c r="L68" i="36"/>
  <c r="L61" i="36"/>
  <c r="N13" i="33" l="1"/>
  <c r="N14" i="33" l="1"/>
</calcChain>
</file>

<file path=xl/sharedStrings.xml><?xml version="1.0" encoding="utf-8"?>
<sst xmlns="http://schemas.openxmlformats.org/spreadsheetml/2006/main" count="910" uniqueCount="633">
  <si>
    <t>(million €)</t>
  </si>
  <si>
    <t>Net interest income</t>
  </si>
  <si>
    <t>Staff costs</t>
  </si>
  <si>
    <t>Share of profit of associates</t>
  </si>
  <si>
    <t>Profit before Tax</t>
  </si>
  <si>
    <t>CONSOLIDATED BALANCE SHEET</t>
  </si>
  <si>
    <t>ASSETS</t>
  </si>
  <si>
    <t>Income tax expense</t>
  </si>
  <si>
    <t>Depreciation and amortization</t>
  </si>
  <si>
    <t>Greece</t>
  </si>
  <si>
    <t>Abroad</t>
  </si>
  <si>
    <t>LIABILITIES &amp; EQUITY</t>
  </si>
  <si>
    <t>CONSOLIDATED CUSTOMER DEPOSITS (per product type)</t>
  </si>
  <si>
    <t>CONSOLIDATED LOANS (per customer type)</t>
  </si>
  <si>
    <t>Group</t>
  </si>
  <si>
    <t>Affiliate companies in Greece</t>
  </si>
  <si>
    <t>OTHER INFORMATION</t>
  </si>
  <si>
    <t>Fitch</t>
  </si>
  <si>
    <t># Shares</t>
  </si>
  <si>
    <t>Ratings</t>
  </si>
  <si>
    <t>Back to Cover</t>
  </si>
  <si>
    <t>1. Savings</t>
  </si>
  <si>
    <t>2. Sight deposits and other deposits</t>
  </si>
  <si>
    <t>Composition</t>
  </si>
  <si>
    <t>CONSOLIDATED LOAN PORTFOLIO QUALITY</t>
  </si>
  <si>
    <t>ANALYSIS OF SELECTED BALANCE SHEET ITEMS</t>
  </si>
  <si>
    <t>1. Cash and balances with central banks</t>
  </si>
  <si>
    <t xml:space="preserve">2. Loans and advances to credit institutions  </t>
  </si>
  <si>
    <t>LOAN PORTFOLIO QUALITY</t>
  </si>
  <si>
    <t>Impairment losses on loans</t>
  </si>
  <si>
    <t>2. Mortgage loans</t>
  </si>
  <si>
    <t xml:space="preserve">3. Consumer loans </t>
  </si>
  <si>
    <t>LLRs</t>
  </si>
  <si>
    <t>LLRs / NPLs</t>
  </si>
  <si>
    <t>LLRs / gross loans</t>
  </si>
  <si>
    <t>QoQ</t>
  </si>
  <si>
    <t>3. Mortgage loans</t>
  </si>
  <si>
    <t xml:space="preserve">4. Consumer loans </t>
  </si>
  <si>
    <t>Discontinued operations</t>
  </si>
  <si>
    <t>Piraeus Bank Greece</t>
  </si>
  <si>
    <t>ECB</t>
  </si>
  <si>
    <t>Other</t>
  </si>
  <si>
    <t>CAPITAL ADEQUACY</t>
  </si>
  <si>
    <t>amounts in € mn</t>
  </si>
  <si>
    <t xml:space="preserve">Abroad </t>
  </si>
  <si>
    <t>CONSOLIDATED P&amp;L</t>
  </si>
  <si>
    <t>Consolidated P&amp;L</t>
  </si>
  <si>
    <t>NPEs / gross loans</t>
  </si>
  <si>
    <t>NPEs</t>
  </si>
  <si>
    <t>LLRs / NPEs</t>
  </si>
  <si>
    <t>Group (continued operations)</t>
  </si>
  <si>
    <t>Discontinued &amp; held for sale operations</t>
  </si>
  <si>
    <t>Branches</t>
  </si>
  <si>
    <t xml:space="preserve">Employees </t>
  </si>
  <si>
    <t>Reported</t>
  </si>
  <si>
    <t>Re-defaults</t>
  </si>
  <si>
    <t>Defaults</t>
  </si>
  <si>
    <t>Sales</t>
  </si>
  <si>
    <t>NPE | End of period</t>
  </si>
  <si>
    <t>Write-offs</t>
  </si>
  <si>
    <t>Curings, Collections, Liquidations</t>
  </si>
  <si>
    <t>Total Regulatory Capital</t>
  </si>
  <si>
    <t>Risk Weighted Assets</t>
  </si>
  <si>
    <t>Common Equity Tier I</t>
  </si>
  <si>
    <t>Common Equity Tier I ratio</t>
  </si>
  <si>
    <t>Total Capital Ratio</t>
  </si>
  <si>
    <t>Capital figures include profit for the period throughout the time horizon presented</t>
  </si>
  <si>
    <t>4. Mortgage loans</t>
  </si>
  <si>
    <t xml:space="preserve">5. Consumer loans </t>
  </si>
  <si>
    <t>6. Loans to Individuals</t>
  </si>
  <si>
    <t>DBRS</t>
  </si>
  <si>
    <t>Group data, amounts in €mn</t>
  </si>
  <si>
    <t>o/w NPEs</t>
  </si>
  <si>
    <t>o/w PEs</t>
  </si>
  <si>
    <t>Loans</t>
  </si>
  <si>
    <t>Bancassurance</t>
  </si>
  <si>
    <t>Brokerage</t>
  </si>
  <si>
    <t>Financing</t>
  </si>
  <si>
    <t>Investment</t>
  </si>
  <si>
    <t>Payments</t>
  </si>
  <si>
    <t>Total</t>
  </si>
  <si>
    <t>Rents - maintenance</t>
  </si>
  <si>
    <t>Marketing - subscriptions</t>
  </si>
  <si>
    <t>Taxes</t>
  </si>
  <si>
    <t>DGS - SRF</t>
  </si>
  <si>
    <t>Subsidiaries</t>
  </si>
  <si>
    <t>Share &amp; stock market data</t>
  </si>
  <si>
    <t>Price/tangible book ratio</t>
  </si>
  <si>
    <t>Tangible book value per share (€)</t>
  </si>
  <si>
    <t>Stage 1</t>
  </si>
  <si>
    <t>Stage 2</t>
  </si>
  <si>
    <t>CUSTOMER FUNDS</t>
  </si>
  <si>
    <t>1. Customer funds</t>
  </si>
  <si>
    <t>2. Saving and sight deposits</t>
  </si>
  <si>
    <t>3. Time deposits</t>
  </si>
  <si>
    <t>Retail</t>
  </si>
  <si>
    <t>CORE TOTAL</t>
  </si>
  <si>
    <t>GROUP</t>
  </si>
  <si>
    <t>Rental and non-banking activities income</t>
  </si>
  <si>
    <t>Pre-tax RoA</t>
  </si>
  <si>
    <t>LOAN BOOK EXPOSURE</t>
  </si>
  <si>
    <t xml:space="preserve">Mortgages </t>
  </si>
  <si>
    <t>Total loans</t>
  </si>
  <si>
    <t>LOAN LOSS RESERVES</t>
  </si>
  <si>
    <t>PERFORMING LOANS</t>
  </si>
  <si>
    <t xml:space="preserve">     &gt;&gt; SB</t>
  </si>
  <si>
    <t xml:space="preserve">     &gt;&gt; Shipping</t>
  </si>
  <si>
    <t xml:space="preserve">    &gt;&gt;Mortgage loans</t>
  </si>
  <si>
    <t>Industry</t>
  </si>
  <si>
    <t>Manufacturing</t>
  </si>
  <si>
    <t>Hospitality</t>
  </si>
  <si>
    <t>Energy</t>
  </si>
  <si>
    <t>Segments</t>
  </si>
  <si>
    <t>PROFIT/(LOSS)</t>
  </si>
  <si>
    <t>BALANCE SHEET</t>
  </si>
  <si>
    <t>FINANCIAL HIGHLIGHTS</t>
  </si>
  <si>
    <t>NET INTEREST INCOME</t>
  </si>
  <si>
    <t>NET FEE INCOME</t>
  </si>
  <si>
    <t>IFRS9 STAGES</t>
  </si>
  <si>
    <t>NPE FLOW DECOMPOSITION</t>
  </si>
  <si>
    <t xml:space="preserve">   &gt;&gt;Consumer loans &amp; credit cards</t>
  </si>
  <si>
    <t>Consumer loans/Credit cards</t>
  </si>
  <si>
    <t>EPS reported (€)</t>
  </si>
  <si>
    <t>3. Time deposits, repos</t>
  </si>
  <si>
    <t xml:space="preserve">Net fee and commission income </t>
  </si>
  <si>
    <t>NPEMU</t>
  </si>
  <si>
    <t>Corporate &amp; IB</t>
  </si>
  <si>
    <t>Financial markets</t>
  </si>
  <si>
    <t>Senior notes</t>
  </si>
  <si>
    <t xml:space="preserve">       of which one off items</t>
  </si>
  <si>
    <t>Total OpEx</t>
  </si>
  <si>
    <t>Impairments for loans</t>
  </si>
  <si>
    <t>Tax</t>
  </si>
  <si>
    <t>RATIOS &amp; METRICS</t>
  </si>
  <si>
    <t>SECURITIES (debt &amp; equity securities)</t>
  </si>
  <si>
    <t>7. Investments in associates</t>
  </si>
  <si>
    <t>8. Goodwill</t>
  </si>
  <si>
    <t>9. Other intagible assets</t>
  </si>
  <si>
    <t>10. Property, plant and equipment</t>
  </si>
  <si>
    <t>11. Deferred tax assets</t>
  </si>
  <si>
    <t>12. Other assets</t>
  </si>
  <si>
    <t>15. Due to credit institutions</t>
  </si>
  <si>
    <t>16. Liabilities at FV through PL</t>
  </si>
  <si>
    <t>17. Derivative financial instruments</t>
  </si>
  <si>
    <t xml:space="preserve">18. Due to customers </t>
  </si>
  <si>
    <t>19. Debt securities and other borrowed funds</t>
  </si>
  <si>
    <t>20. Deferred tax liabilities</t>
  </si>
  <si>
    <t>21. Retirement benefit obligations</t>
  </si>
  <si>
    <t>22. Other liabilities</t>
  </si>
  <si>
    <t>25. Shareholders' funds</t>
  </si>
  <si>
    <t>26. Additional Tier I</t>
  </si>
  <si>
    <t>Depreciation</t>
  </si>
  <si>
    <t>B (Positive)</t>
  </si>
  <si>
    <t>Core EPS  (€)</t>
  </si>
  <si>
    <t>Market capitalization (€mn)</t>
  </si>
  <si>
    <t>of which one-off</t>
  </si>
  <si>
    <t>Core EPS adj for AT1</t>
  </si>
  <si>
    <t>Normalized EPS adj for AT1</t>
  </si>
  <si>
    <t>Reported EPS adjusted for AT1</t>
  </si>
  <si>
    <t>Minorities</t>
  </si>
  <si>
    <t>Price/earnings normalized (%)</t>
  </si>
  <si>
    <t>EPS normalized (€)</t>
  </si>
  <si>
    <t>EPS CALCULATIONS</t>
  </si>
  <si>
    <t>Operating expenses</t>
  </si>
  <si>
    <t>Core EPS</t>
  </si>
  <si>
    <t>Normalized EPS</t>
  </si>
  <si>
    <t>Reported EPS adjusted</t>
  </si>
  <si>
    <t>n.m.</t>
  </si>
  <si>
    <t>IT - telco</t>
  </si>
  <si>
    <t>-</t>
  </si>
  <si>
    <t>Other impairments &amp; associates' income</t>
  </si>
  <si>
    <t>NIM on average assets</t>
  </si>
  <si>
    <t xml:space="preserve">     o/w Senior notes</t>
  </si>
  <si>
    <t>Ba3 (Stable)</t>
  </si>
  <si>
    <t>B high (Stable)</t>
  </si>
  <si>
    <t>Total inflows</t>
  </si>
  <si>
    <t>o/w business</t>
  </si>
  <si>
    <t>o/w mortgage</t>
  </si>
  <si>
    <t>o/w consumer</t>
  </si>
  <si>
    <t>Net fee income</t>
  </si>
  <si>
    <t>NPEs | Beginning of period</t>
  </si>
  <si>
    <t>Q1 2023</t>
  </si>
  <si>
    <t>Q1.23</t>
  </si>
  <si>
    <t>Q2.23</t>
  </si>
  <si>
    <t>Q2 2023</t>
  </si>
  <si>
    <t>Tax normalized</t>
  </si>
  <si>
    <t>B+ (Positive)</t>
  </si>
  <si>
    <t>* Gross loans, NPEs &amp; NPLs include loans and advances to customers fair valued through P&amp;L. LLRs include ECL allowance for impairment losses on loans and advances to customers mandatorily measured at FVTPL</t>
  </si>
  <si>
    <t>NFI/Assets</t>
  </si>
  <si>
    <t>6. Securities inc. derivatives</t>
  </si>
  <si>
    <t>* Q2.23 business inflow elevated due to one corporate  client defaulting</t>
  </si>
  <si>
    <t>Q3.23</t>
  </si>
  <si>
    <t>Q3 2023</t>
  </si>
  <si>
    <t>Ba1 (Positive)</t>
  </si>
  <si>
    <t>BB- (Stable)</t>
  </si>
  <si>
    <t>1. Balances and related income exclude senior tranches and CLOs</t>
  </si>
  <si>
    <t>2. Interest earning assets are total assets excluding equity and mutual fund financial assets, participations, goodwill and intangibles, fixed assets, deferred tax assets and discontinued</t>
  </si>
  <si>
    <t>NII/Assets</t>
  </si>
  <si>
    <t xml:space="preserve">          of which G&amp;A costs recurring</t>
  </si>
  <si>
    <t>Extraordinary general expenses for extreme weather phenomena</t>
  </si>
  <si>
    <t>Staff costs recurring</t>
  </si>
  <si>
    <t>VES costs</t>
  </si>
  <si>
    <t>Net revenues</t>
  </si>
  <si>
    <t>General expenses</t>
  </si>
  <si>
    <t>Net profit from continuing operations attributable to SHs</t>
  </si>
  <si>
    <t>Tangible equity</t>
  </si>
  <si>
    <t>Total equity</t>
  </si>
  <si>
    <t>NPE ratio</t>
  </si>
  <si>
    <t>Financial highlights</t>
  </si>
  <si>
    <t>EPS calculations</t>
  </si>
  <si>
    <t>Consolidated balance sheet</t>
  </si>
  <si>
    <t>Analysis of selected balance sheet items</t>
  </si>
  <si>
    <t>P&amp;L segment view</t>
  </si>
  <si>
    <t>Performing loans</t>
  </si>
  <si>
    <t>Loan portfolio quality</t>
  </si>
  <si>
    <t>IFRS9 stages</t>
  </si>
  <si>
    <t>NPE flow decomposition</t>
  </si>
  <si>
    <t>Capital adequacy</t>
  </si>
  <si>
    <t>Other information</t>
  </si>
  <si>
    <t xml:space="preserve">          of which staff costs recurring</t>
  </si>
  <si>
    <t xml:space="preserve">          of which depreciation recurring</t>
  </si>
  <si>
    <t>Associates' income</t>
  </si>
  <si>
    <t>Core operating profit</t>
  </si>
  <si>
    <t>AT1 coupon (mn)</t>
  </si>
  <si>
    <t>Normalized operating profit adjusted for AT1 cpn (mn)</t>
  </si>
  <si>
    <t>Reported net profit</t>
  </si>
  <si>
    <t>Reported net profit adjusted for AT1 cpn (mn)</t>
  </si>
  <si>
    <t>Outstanding number of shares (#)</t>
  </si>
  <si>
    <t>4. Cumulative provisions</t>
  </si>
  <si>
    <t>5. Net loans</t>
  </si>
  <si>
    <t>14. Total assets</t>
  </si>
  <si>
    <t>24. Total liabilities</t>
  </si>
  <si>
    <t>27. Non controlling Interests</t>
  </si>
  <si>
    <t>28. Total equity</t>
  </si>
  <si>
    <t>29. Tangible equity</t>
  </si>
  <si>
    <t>30. Total liabilities &amp; equity</t>
  </si>
  <si>
    <t>1. Loans to corporate entities</t>
  </si>
  <si>
    <t>3. Senior notes (HAPS securitizations)</t>
  </si>
  <si>
    <t>7. Total gross loans to customers</t>
  </si>
  <si>
    <t>6. Loans to individuals</t>
  </si>
  <si>
    <t xml:space="preserve">4. Total customer deposits </t>
  </si>
  <si>
    <t>4. Total customer deposits</t>
  </si>
  <si>
    <t>Core income</t>
  </si>
  <si>
    <t>Total net revenues</t>
  </si>
  <si>
    <t>Operating cost</t>
  </si>
  <si>
    <t>Profit before tax &amp; provisions</t>
  </si>
  <si>
    <t>Non controlling Interests</t>
  </si>
  <si>
    <t xml:space="preserve">Net profit / (Loss) attributable to shareholders </t>
  </si>
  <si>
    <t>Net Profit / (Loss) attributable to shareholders from discontinued operations</t>
  </si>
  <si>
    <t>Non controlling interests from discontinued operations</t>
  </si>
  <si>
    <t>Net loans</t>
  </si>
  <si>
    <t>Fixed income securities</t>
  </si>
  <si>
    <t>IRS asset side</t>
  </si>
  <si>
    <t>Other assets</t>
  </si>
  <si>
    <t>Interest income</t>
  </si>
  <si>
    <t>Customer deposits</t>
  </si>
  <si>
    <t>Due to banks including TLTRO</t>
  </si>
  <si>
    <t>Debt securities</t>
  </si>
  <si>
    <t>IRS liability side</t>
  </si>
  <si>
    <t>Other liabilities</t>
  </si>
  <si>
    <t>Interest expense</t>
  </si>
  <si>
    <t>Letters of guarantee</t>
  </si>
  <si>
    <t>Investment banking</t>
  </si>
  <si>
    <t>Asset management</t>
  </si>
  <si>
    <t>Funds transfer</t>
  </si>
  <si>
    <t>FX fees</t>
  </si>
  <si>
    <t>Rental and other income</t>
  </si>
  <si>
    <t>Legal - business services</t>
  </si>
  <si>
    <t>Pre provision income (PPI)</t>
  </si>
  <si>
    <t>Loan impairment</t>
  </si>
  <si>
    <t>Other impairment</t>
  </si>
  <si>
    <t>Associates income</t>
  </si>
  <si>
    <t>NIM over assets</t>
  </si>
  <si>
    <t>NFI and rental Income over assets</t>
  </si>
  <si>
    <t>Cost to core income</t>
  </si>
  <si>
    <t>PPI over assets</t>
  </si>
  <si>
    <t>Cost of risk</t>
  </si>
  <si>
    <t>Corporate lending</t>
  </si>
  <si>
    <t xml:space="preserve">     &gt;&gt; Large corporate</t>
  </si>
  <si>
    <t>Retail lending</t>
  </si>
  <si>
    <t>Trade (retail &amp; wholesale)</t>
  </si>
  <si>
    <t>Construction &amp; real estate</t>
  </si>
  <si>
    <t>Transportation (incl shipping)</t>
  </si>
  <si>
    <t>Gross loans</t>
  </si>
  <si>
    <t>1. Loans to businesses</t>
  </si>
  <si>
    <t>5. Loans to individuals</t>
  </si>
  <si>
    <t>6. Total gross loans to customers</t>
  </si>
  <si>
    <t>Loans in arrears &gt; 90 days</t>
  </si>
  <si>
    <t>4. Loans to individuals</t>
  </si>
  <si>
    <t>5. Total loans in arrears</t>
  </si>
  <si>
    <t>5. Total loans to customers</t>
  </si>
  <si>
    <t>Loans in arrears &gt; 90 days / gross loans</t>
  </si>
  <si>
    <t>Corporate and public loans</t>
  </si>
  <si>
    <t>Phased in data</t>
  </si>
  <si>
    <t>* CORE: excluding one off elements and trading/other income; NORMALIZED: excluding one off elements and including normalized/recurring trading/other income</t>
  </si>
  <si>
    <t>(1) Profit before tax illustrated on the table excludes cards merchant acquiring business consideration and non-recurring operating costs</t>
  </si>
  <si>
    <t>G&amp;A costs recurring</t>
  </si>
  <si>
    <t>Trading &amp; other income</t>
  </si>
  <si>
    <t>Other operating result</t>
  </si>
  <si>
    <t>AT1 coupon</t>
  </si>
  <si>
    <t>Core operating profit adjusted for AT1 cpn</t>
  </si>
  <si>
    <t>PIRAEUS BANK CREDIT RATINGS
(outlook)</t>
  </si>
  <si>
    <t>EMPLOYEES PER COUNTRY (#)</t>
  </si>
  <si>
    <t>NUMBER OF SHARES</t>
  </si>
  <si>
    <t>SHARE &amp; STOCK MARKET DATA</t>
  </si>
  <si>
    <t>BRANCHES PER COUNTRY (#)</t>
  </si>
  <si>
    <t>STAFF COSTS</t>
  </si>
  <si>
    <t xml:space="preserve">G&amp;A COSTS  </t>
  </si>
  <si>
    <t>GROUP FIGURES</t>
  </si>
  <si>
    <t>Q4.23</t>
  </si>
  <si>
    <t>Q4 2023</t>
  </si>
  <si>
    <t>BB- (Positive)</t>
  </si>
  <si>
    <t>BB (Stable)</t>
  </si>
  <si>
    <t>Non-maturing deposits hedging cost</t>
  </si>
  <si>
    <t>TBV per share</t>
  </si>
  <si>
    <t xml:space="preserve">Rental income and income from non-banking activities </t>
  </si>
  <si>
    <t>(2) Q3.23 net trading result mainly derived from market making and other primary market activity</t>
  </si>
  <si>
    <t>Q1.24</t>
  </si>
  <si>
    <t>Q1 2024</t>
  </si>
  <si>
    <t>Credit protection costs</t>
  </si>
  <si>
    <t>Servicing fees</t>
  </si>
  <si>
    <t>o/w servicing fees</t>
  </si>
  <si>
    <t>o/w credit protection costs</t>
  </si>
  <si>
    <t>Transaction Banking</t>
  </si>
  <si>
    <t xml:space="preserve">       of which one off trading &amp; other operating items</t>
  </si>
  <si>
    <t>5. Mutual funds</t>
  </si>
  <si>
    <t>7. Private &amp; institutional portfolios</t>
  </si>
  <si>
    <t>8. Total customer assets</t>
  </si>
  <si>
    <t>Assets</t>
  </si>
  <si>
    <t>MREL ratio</t>
  </si>
  <si>
    <t>MREL eligible liabilities</t>
  </si>
  <si>
    <t>Issuer</t>
  </si>
  <si>
    <t>Amount(€)</t>
  </si>
  <si>
    <t>Coupon</t>
  </si>
  <si>
    <t>Issue Date</t>
  </si>
  <si>
    <t>Call Date</t>
  </si>
  <si>
    <t>Reset Spread</t>
  </si>
  <si>
    <t>Maturity</t>
  </si>
  <si>
    <t>Denomination</t>
  </si>
  <si>
    <t>ISIN</t>
  </si>
  <si>
    <t>Documentation</t>
  </si>
  <si>
    <t xml:space="preserve">Piraeus Bank S.A. </t>
  </si>
  <si>
    <t>3.875% | Annual</t>
  </si>
  <si>
    <t>03-Nov-21</t>
  </si>
  <si>
    <t>03-Nov-26</t>
  </si>
  <si>
    <t>394.8 bps</t>
  </si>
  <si>
    <t>03-Nov-27</t>
  </si>
  <si>
    <t>100k +1k</t>
  </si>
  <si>
    <t>XS2400040460</t>
  </si>
  <si>
    <t>EMTN PROGRAMME</t>
  </si>
  <si>
    <t>8.25% | Annual</t>
  </si>
  <si>
    <t>28-Nov-22</t>
  </si>
  <si>
    <t>28-Jan-26</t>
  </si>
  <si>
    <t>571.5 bps</t>
  </si>
  <si>
    <t>28-Jan-27</t>
  </si>
  <si>
    <t>XS2559486019</t>
  </si>
  <si>
    <t>7.25% | Annual</t>
  </si>
  <si>
    <t>13-Jul-23</t>
  </si>
  <si>
    <t>13-Jul-27</t>
  </si>
  <si>
    <t>369.2 bps</t>
  </si>
  <si>
    <t>13-Jul-28</t>
  </si>
  <si>
    <t>XS2644936259</t>
  </si>
  <si>
    <t>6.75% | Annual</t>
  </si>
  <si>
    <t>05-Dec-23</t>
  </si>
  <si>
    <t>05-Dec-28</t>
  </si>
  <si>
    <t>383.7 bps</t>
  </si>
  <si>
    <t>05-Dec-29</t>
  </si>
  <si>
    <t>XS2728486536</t>
  </si>
  <si>
    <t xml:space="preserve">Piraeus Financial Holdings  S.A. </t>
  </si>
  <si>
    <t>5.00% | Annual</t>
  </si>
  <si>
    <t>16-Apr-24</t>
  </si>
  <si>
    <t>16-Apr-29</t>
  </si>
  <si>
    <t>224.5 bps</t>
  </si>
  <si>
    <t>16-Apr-30</t>
  </si>
  <si>
    <t>XS2802909478</t>
  </si>
  <si>
    <t>477.3 bps</t>
  </si>
  <si>
    <t>XS2747093321</t>
  </si>
  <si>
    <t xml:space="preserve">Piraeus Financial  Holdings  S.A. </t>
  </si>
  <si>
    <t>8.75% | Semi-Annual</t>
  </si>
  <si>
    <t>16-Jun-21</t>
  </si>
  <si>
    <t>16-Jun-26</t>
  </si>
  <si>
    <t>919.5 bps</t>
  </si>
  <si>
    <t>Perpetual</t>
  </si>
  <si>
    <t>200k +1k</t>
  </si>
  <si>
    <t xml:space="preserve">XS2354777265 </t>
  </si>
  <si>
    <t>STANDALONE</t>
  </si>
  <si>
    <t>€500mn 3.875% 
6NC5 SP Green Notes 
due 2027</t>
  </si>
  <si>
    <t>€350mn 8.25% 
5NC4 SP Notes   
due 2027</t>
  </si>
  <si>
    <t>€500mn 7.25% 
5NC4 SP Notes 
due 2028</t>
  </si>
  <si>
    <t>€500mn 6.75% 
6NC5 SP Notes 
due 2029</t>
  </si>
  <si>
    <t>€500mn 5.00% 
6NC5 SP Notes 
due 2030</t>
  </si>
  <si>
    <t xml:space="preserve">€500mn 7.250% 
10.25NC5.25 Tier 2 
due 2034 </t>
  </si>
  <si>
    <t xml:space="preserve">€600mn 8.75% 
PerpNC5.5 AT1 Notes </t>
  </si>
  <si>
    <t>6. Piraeus Securities</t>
  </si>
  <si>
    <t>Avg 3m Euribor</t>
  </si>
  <si>
    <t>Fixed income securities yield</t>
  </si>
  <si>
    <t>Debt securities cost</t>
  </si>
  <si>
    <t>Customer deposits cost</t>
  </si>
  <si>
    <t>1. Amortised cost</t>
  </si>
  <si>
    <t>2. GGBs</t>
  </si>
  <si>
    <t>4. EU Sovereign</t>
  </si>
  <si>
    <t>5. Other Bonds</t>
  </si>
  <si>
    <t>6. FVTOCI</t>
  </si>
  <si>
    <t>7. GGBs</t>
  </si>
  <si>
    <t>9. EU Sovereign</t>
  </si>
  <si>
    <t>10. Other Bonds</t>
  </si>
  <si>
    <t>11. Equity</t>
  </si>
  <si>
    <t>12. FVTPL</t>
  </si>
  <si>
    <t>13. GGBs</t>
  </si>
  <si>
    <t>15. EU Sovereign</t>
  </si>
  <si>
    <t>16. Other Bonds</t>
  </si>
  <si>
    <t>17. Equity</t>
  </si>
  <si>
    <t>18. Derivative financial instruments</t>
  </si>
  <si>
    <t>19. Total securities</t>
  </si>
  <si>
    <t>(2) Assets under management include MFMC assets, Private Banking assets, Brokerage and Custody. Iolcus is included as at 30 March 2022</t>
  </si>
  <si>
    <r>
      <t>Pre provision income</t>
    </r>
    <r>
      <rPr>
        <b/>
        <sz val="12"/>
        <color rgb="FFF55240"/>
        <rFont val="Piraeus Open Sans"/>
      </rPr>
      <t xml:space="preserve"> </t>
    </r>
    <r>
      <rPr>
        <b/>
        <sz val="12"/>
        <color rgb="FF002F30"/>
        <rFont val="Piraeus Open Sans"/>
      </rPr>
      <t>reported</t>
    </r>
  </si>
  <si>
    <t>Q2 2024</t>
  </si>
  <si>
    <t>Q2.24</t>
  </si>
  <si>
    <r>
      <t>4. Assets under management</t>
    </r>
    <r>
      <rPr>
        <b/>
        <vertAlign val="superscript"/>
        <sz val="12"/>
        <color rgb="FF002F30"/>
        <rFont val="Piraeus Open Sans"/>
      </rPr>
      <t>2</t>
    </r>
  </si>
  <si>
    <r>
      <t xml:space="preserve">Net fee and commission income </t>
    </r>
    <r>
      <rPr>
        <vertAlign val="superscript"/>
        <sz val="12"/>
        <color rgb="FF002F30"/>
        <rFont val="Piraeus Open Sans"/>
      </rPr>
      <t>(1)</t>
    </r>
  </si>
  <si>
    <r>
      <t xml:space="preserve">Net trading result </t>
    </r>
    <r>
      <rPr>
        <vertAlign val="superscript"/>
        <sz val="12"/>
        <color rgb="FF002F30"/>
        <rFont val="Piraeus Open Sans"/>
      </rPr>
      <t>(2)</t>
    </r>
  </si>
  <si>
    <r>
      <t xml:space="preserve">Administrative expenses </t>
    </r>
    <r>
      <rPr>
        <vertAlign val="superscript"/>
        <sz val="12"/>
        <color rgb="FF002F30"/>
        <rFont val="Piraeus Open Sans"/>
      </rPr>
      <t>(1)</t>
    </r>
  </si>
  <si>
    <r>
      <t>o/w inorganic (losses on NPE sales)</t>
    </r>
    <r>
      <rPr>
        <vertAlign val="superscript"/>
        <sz val="12"/>
        <color theme="0" tint="-0.499984740745262"/>
        <rFont val="Piraeus Open Sans"/>
      </rPr>
      <t>(4)</t>
    </r>
  </si>
  <si>
    <r>
      <t xml:space="preserve">Other impairment </t>
    </r>
    <r>
      <rPr>
        <vertAlign val="superscript"/>
        <sz val="12"/>
        <color rgb="FF002F30"/>
        <rFont val="Piraeus Open Sans"/>
      </rPr>
      <t>(5)</t>
    </r>
  </si>
  <si>
    <r>
      <t>Normalized Income tax expense</t>
    </r>
    <r>
      <rPr>
        <i/>
        <vertAlign val="superscript"/>
        <sz val="12"/>
        <color rgb="FF002F30"/>
        <rFont val="Piraeus Open Sans"/>
      </rPr>
      <t>(6)</t>
    </r>
  </si>
  <si>
    <r>
      <t>Normalized operating profit</t>
    </r>
    <r>
      <rPr>
        <b/>
        <vertAlign val="superscript"/>
        <sz val="14"/>
        <color rgb="FF002F30"/>
        <rFont val="Piraeus Open Sans"/>
      </rPr>
      <t>(7)</t>
    </r>
  </si>
  <si>
    <r>
      <t>PE yield</t>
    </r>
    <r>
      <rPr>
        <b/>
        <vertAlign val="superscript"/>
        <sz val="14"/>
        <color rgb="FF002F30"/>
        <rFont val="Piraeus Open Sans"/>
      </rPr>
      <t>1</t>
    </r>
  </si>
  <si>
    <r>
      <t>NIM on average interest earning assets</t>
    </r>
    <r>
      <rPr>
        <b/>
        <vertAlign val="superscript"/>
        <sz val="14"/>
        <color rgb="FF002F30"/>
        <rFont val="Piraeus Open Sans"/>
      </rPr>
      <t>2</t>
    </r>
  </si>
  <si>
    <r>
      <t>Other one-offs</t>
    </r>
    <r>
      <rPr>
        <vertAlign val="superscript"/>
        <sz val="12"/>
        <color rgb="FF002F30"/>
        <rFont val="Piraeus Open Sans"/>
      </rPr>
      <t>(1)</t>
    </r>
  </si>
  <si>
    <r>
      <t>Other</t>
    </r>
    <r>
      <rPr>
        <vertAlign val="superscript"/>
        <sz val="12"/>
        <color rgb="FF002F30"/>
        <rFont val="Piraeus Open Sans"/>
      </rPr>
      <t>(2)</t>
    </r>
  </si>
  <si>
    <r>
      <t>Profit before tax</t>
    </r>
    <r>
      <rPr>
        <b/>
        <vertAlign val="superscript"/>
        <sz val="12"/>
        <color rgb="FF002F30"/>
        <rFont val="Piraeus Open Sans"/>
      </rPr>
      <t>(1)</t>
    </r>
  </si>
  <si>
    <r>
      <t xml:space="preserve">Total CIB </t>
    </r>
    <r>
      <rPr>
        <sz val="12"/>
        <color rgb="FF002F30"/>
        <rFont val="Piraeus Open Sans"/>
      </rPr>
      <t>(Corporate, SME &amp; Shipping)</t>
    </r>
  </si>
  <si>
    <r>
      <t>Pro-Forma</t>
    </r>
    <r>
      <rPr>
        <b/>
        <vertAlign val="superscript"/>
        <sz val="12"/>
        <color rgb="FF002F30"/>
        <rFont val="Piraeus Open Sans"/>
      </rPr>
      <t>(1)</t>
    </r>
  </si>
  <si>
    <r>
      <t xml:space="preserve">Profit before tax </t>
    </r>
    <r>
      <rPr>
        <b/>
        <sz val="12"/>
        <color rgb="FF296ED4"/>
        <rFont val="Piraeus Open Sans"/>
      </rPr>
      <t>reported</t>
    </r>
  </si>
  <si>
    <r>
      <rPr>
        <sz val="12"/>
        <color rgb="FF002F30"/>
        <rFont val="Piraeus Open Sans"/>
      </rPr>
      <t xml:space="preserve">Trading &amp; other income </t>
    </r>
    <r>
      <rPr>
        <b/>
        <sz val="12"/>
        <color rgb="FF296ED4"/>
        <rFont val="Piraeus Open Sans"/>
      </rPr>
      <t>normalized</t>
    </r>
  </si>
  <si>
    <r>
      <t>Core EPS (€)</t>
    </r>
    <r>
      <rPr>
        <b/>
        <sz val="12"/>
        <color rgb="FFA8A30A"/>
        <rFont val="Piraeus Open Sans"/>
      </rPr>
      <t xml:space="preserve"> </t>
    </r>
    <r>
      <rPr>
        <b/>
        <sz val="12"/>
        <color rgb="FF296ED4"/>
        <rFont val="Piraeus Open Sans"/>
      </rPr>
      <t>adjusted for AT1 coupon</t>
    </r>
  </si>
  <si>
    <r>
      <t>Normalized EPS (€)</t>
    </r>
    <r>
      <rPr>
        <b/>
        <sz val="12"/>
        <color rgb="FF296ED4"/>
        <rFont val="Piraeus Open Sans"/>
      </rPr>
      <t xml:space="preserve"> adjusted for AT1 coupon</t>
    </r>
  </si>
  <si>
    <r>
      <t>Reported EPS (€)</t>
    </r>
    <r>
      <rPr>
        <b/>
        <sz val="12"/>
        <color theme="0" tint="-0.499984740745262"/>
        <rFont val="Piraeus Open Sans"/>
      </rPr>
      <t xml:space="preserve"> </t>
    </r>
    <r>
      <rPr>
        <b/>
        <sz val="12"/>
        <color rgb="FF296ED4"/>
        <rFont val="Piraeus Open Sans"/>
      </rPr>
      <t>adjusted for AT1 coupon</t>
    </r>
  </si>
  <si>
    <r>
      <t xml:space="preserve">RoaTBV </t>
    </r>
    <r>
      <rPr>
        <b/>
        <sz val="12"/>
        <color rgb="FF296ED4"/>
        <rFont val="Piraeus Open Sans"/>
      </rPr>
      <t>normalized adjusted for AT1 coupon</t>
    </r>
  </si>
  <si>
    <r>
      <t xml:space="preserve">RoaA </t>
    </r>
    <r>
      <rPr>
        <b/>
        <sz val="12"/>
        <color rgb="FF296ED4"/>
        <rFont val="Piraeus Open Sans"/>
      </rPr>
      <t>normalized adjusted for AT1 coupon</t>
    </r>
  </si>
  <si>
    <r>
      <t>Net profit over revenues</t>
    </r>
    <r>
      <rPr>
        <b/>
        <sz val="12"/>
        <color rgb="FFA8A30A"/>
        <rFont val="Piraeus Open Sans"/>
      </rPr>
      <t xml:space="preserve"> </t>
    </r>
    <r>
      <rPr>
        <b/>
        <sz val="12"/>
        <color rgb="FF296ED4"/>
        <rFont val="Piraeus Open Sans"/>
      </rPr>
      <t>core adjusted for AT1 coupon</t>
    </r>
  </si>
  <si>
    <r>
      <t xml:space="preserve">Cost-to-income ratio </t>
    </r>
    <r>
      <rPr>
        <b/>
        <sz val="12"/>
        <color rgb="FF296ED4"/>
        <rFont val="Piraeus Open Sans"/>
      </rPr>
      <t>core</t>
    </r>
  </si>
  <si>
    <r>
      <t xml:space="preserve">CoR </t>
    </r>
    <r>
      <rPr>
        <b/>
        <sz val="12"/>
        <color rgb="FF296ED4"/>
        <rFont val="Piraeus Open Sans"/>
      </rPr>
      <t>underlying</t>
    </r>
  </si>
  <si>
    <r>
      <t xml:space="preserve">CoR </t>
    </r>
    <r>
      <rPr>
        <b/>
        <sz val="12"/>
        <color rgb="FF296ED4"/>
        <rFont val="Piraeus Open Sans"/>
      </rPr>
      <t>organic</t>
    </r>
  </si>
  <si>
    <r>
      <t xml:space="preserve">Pre provision income </t>
    </r>
    <r>
      <rPr>
        <b/>
        <sz val="12"/>
        <color rgb="FF296ED4"/>
        <rFont val="Piraeus Open Sans"/>
      </rPr>
      <t>normalized</t>
    </r>
  </si>
  <si>
    <t>Operating costs</t>
  </si>
  <si>
    <t>OPERATING COSTS</t>
  </si>
  <si>
    <t>4. Total property portfolio</t>
  </si>
  <si>
    <t>1. Investment property</t>
  </si>
  <si>
    <t>2. Inventory property</t>
  </si>
  <si>
    <t>3. Own property</t>
  </si>
  <si>
    <t>POCI not credit impaired</t>
  </si>
  <si>
    <t>Stage 3 &amp; POCI credit impaired</t>
  </si>
  <si>
    <t>CIB</t>
  </si>
  <si>
    <t>Mortgages</t>
  </si>
  <si>
    <t>Consumer/SB</t>
  </si>
  <si>
    <t>XS2845167613</t>
  </si>
  <si>
    <t>172.3 bps</t>
  </si>
  <si>
    <t>4.625% | Annual</t>
  </si>
  <si>
    <t>€650mn 4.625% 
5NC4 SP Green Notes 
due 2029</t>
  </si>
  <si>
    <t xml:space="preserve">1. Moody’s Rating refers to Long Term Deposit Rating
</t>
  </si>
  <si>
    <r>
      <t>Moody's</t>
    </r>
    <r>
      <rPr>
        <vertAlign val="superscript"/>
        <sz val="12"/>
        <color rgb="FF002F30"/>
        <rFont val="Piraeus Open Sans"/>
      </rPr>
      <t>1</t>
    </r>
  </si>
  <si>
    <t>3. G-TBills</t>
  </si>
  <si>
    <t>8. G-TBills</t>
  </si>
  <si>
    <t>14. G-TBills</t>
  </si>
  <si>
    <t>*POCI credit imapired refers to purchased or originated credit impaired (“POCI”) loans measured at amortised cost that continue to be credit impaired as of the end of the reporting period</t>
  </si>
  <si>
    <t>DEBT SECURITIES</t>
  </si>
  <si>
    <r>
      <t>PROPERTY PORTFOLIO</t>
    </r>
    <r>
      <rPr>
        <b/>
        <u/>
        <vertAlign val="superscript"/>
        <sz val="12"/>
        <color rgb="FF002F30"/>
        <rFont val="Piraeus Open Sans"/>
      </rPr>
      <t>3</t>
    </r>
  </si>
  <si>
    <t>(3) Inventory property is included in the "Other assets" line in IFRS accounts</t>
  </si>
  <si>
    <t>MREL ratio (Bank Group data)</t>
  </si>
  <si>
    <t>Q3 2024</t>
  </si>
  <si>
    <t>Q3.24</t>
  </si>
  <si>
    <t>€650mn 5.375%                                                                                     11NC6 T2 Notes 
due 2035</t>
  </si>
  <si>
    <t>5.375% | Annual</t>
  </si>
  <si>
    <t xml:space="preserve">XS2901369897 </t>
  </si>
  <si>
    <t>315 bps</t>
  </si>
  <si>
    <t>PE spreads</t>
  </si>
  <si>
    <t>Time</t>
  </si>
  <si>
    <t>Sight-savings</t>
  </si>
  <si>
    <t>Baa3 (Positive)</t>
  </si>
  <si>
    <t>BB (Positive)</t>
  </si>
  <si>
    <t>BB high (Positive)</t>
  </si>
  <si>
    <r>
      <t xml:space="preserve">Net profit </t>
    </r>
    <r>
      <rPr>
        <b/>
        <sz val="12"/>
        <color rgb="FF296ED4"/>
        <rFont val="Piraeus Open Sans"/>
      </rPr>
      <t>normalized</t>
    </r>
  </si>
  <si>
    <t>(4) Q3.23 onwards inorganic impairments for loans include only losses on NPE sales transactions</t>
  </si>
  <si>
    <t>(1) Q3.23 other staff costs comprise reversal of talent retention accruals due to share buyback; Q4.23 other staff costs comprise share buyback  accruals expensed for talent retention and subsidy for low paid employees</t>
  </si>
  <si>
    <t>(2) Other includes net gain/(losses) from sale of property and equipment and intangible assets</t>
  </si>
  <si>
    <t>(7) As of Q1.24 normalized profits are calculated adjusting one-off items for the 29% tax rate</t>
  </si>
  <si>
    <t>AT1</t>
  </si>
  <si>
    <t>Tier 2</t>
  </si>
  <si>
    <t>Senior Preferred</t>
  </si>
  <si>
    <t>1. Outstanding number of shares</t>
  </si>
  <si>
    <t>3. Weighted average number of shares in issue for the basic EPS calculation</t>
  </si>
  <si>
    <t>4. Weighted average number of shares in issue for the diluted EPS calculation</t>
  </si>
  <si>
    <t>* EPS figures are calculated with the outstanding number of shares. From Q1.24 onwards, EPS are calculated on period-end outstanding number of shares adjusted for treasury shares</t>
  </si>
  <si>
    <t>* From Q1.23 onwards, EPS are calculated on period-end outstanding number of shares adjusted for treasury shares</t>
  </si>
  <si>
    <t>2. From Q1.23 onwards, period-end outstanding number of shares adjusted for treasury shares</t>
  </si>
  <si>
    <r>
      <t>PFH shares (end of period)</t>
    </r>
    <r>
      <rPr>
        <vertAlign val="superscript"/>
        <sz val="12"/>
        <color rgb="FF002F30"/>
        <rFont val="Piraeus Open Sans"/>
      </rPr>
      <t>1</t>
    </r>
  </si>
  <si>
    <r>
      <t>PFH shares minus treasury stock (end of period)</t>
    </r>
    <r>
      <rPr>
        <vertAlign val="superscript"/>
        <sz val="12"/>
        <color rgb="FF002F30"/>
        <rFont val="Piraeus Open Sans"/>
      </rPr>
      <t>2</t>
    </r>
  </si>
  <si>
    <r>
      <t>PFH shares minus treasury stock (average of period)</t>
    </r>
    <r>
      <rPr>
        <vertAlign val="superscript"/>
        <sz val="12"/>
        <color rgb="FF002F30"/>
        <rFont val="Piraeus Open Sans"/>
      </rPr>
      <t>3</t>
    </r>
  </si>
  <si>
    <r>
      <t>Adjusted PFH shares minus treasury stock (avg of period)</t>
    </r>
    <r>
      <rPr>
        <vertAlign val="superscript"/>
        <sz val="12"/>
        <color rgb="FF002F30"/>
        <rFont val="Piraeus Open Sans"/>
      </rPr>
      <t>4</t>
    </r>
  </si>
  <si>
    <t>Q4.24</t>
  </si>
  <si>
    <t>Q4 2024</t>
  </si>
  <si>
    <r>
      <t xml:space="preserve">NFI/Revenues </t>
    </r>
    <r>
      <rPr>
        <b/>
        <sz val="12"/>
        <color rgb="FF296ED4"/>
        <rFont val="Piraeus Open Sans"/>
      </rPr>
      <t>normalized</t>
    </r>
  </si>
  <si>
    <r>
      <t xml:space="preserve">RoaTBV </t>
    </r>
    <r>
      <rPr>
        <b/>
        <sz val="12"/>
        <color rgb="FF296ED4"/>
        <rFont val="Piraeus Open Sans"/>
      </rPr>
      <t>reported</t>
    </r>
    <r>
      <rPr>
        <b/>
        <sz val="12"/>
        <color rgb="FF002F30"/>
        <rFont val="Piraeus Open Sans"/>
      </rPr>
      <t xml:space="preserve"> </t>
    </r>
    <r>
      <rPr>
        <b/>
        <sz val="12"/>
        <color rgb="FF296ED4"/>
        <rFont val="Piraeus Open Sans"/>
      </rPr>
      <t>adjusted for AT1 coupon</t>
    </r>
  </si>
  <si>
    <r>
      <t xml:space="preserve">RoaA </t>
    </r>
    <r>
      <rPr>
        <b/>
        <sz val="12"/>
        <color rgb="FF296ED4"/>
        <rFont val="Piraeus Open Sans"/>
      </rPr>
      <t>reported adjusted for AT1 coupon</t>
    </r>
  </si>
  <si>
    <r>
      <t xml:space="preserve">       of which one off fees</t>
    </r>
    <r>
      <rPr>
        <vertAlign val="superscript"/>
        <sz val="12"/>
        <color rgb="FF002F30"/>
        <rFont val="Piraeus Open Sans"/>
      </rPr>
      <t>1</t>
    </r>
  </si>
  <si>
    <t>2. Q3.23 net trading result mainly derived from market making and other primary market activity</t>
  </si>
  <si>
    <r>
      <t>Net trading result</t>
    </r>
    <r>
      <rPr>
        <vertAlign val="superscript"/>
        <sz val="12"/>
        <color rgb="FF002F30"/>
        <rFont val="Piraeus Open Sans"/>
      </rPr>
      <t>2</t>
    </r>
  </si>
  <si>
    <r>
      <t>Other operating result</t>
    </r>
    <r>
      <rPr>
        <vertAlign val="superscript"/>
        <sz val="12"/>
        <color rgb="FF002F30"/>
        <rFont val="Piraeus Open Sans"/>
      </rPr>
      <t>3</t>
    </r>
  </si>
  <si>
    <r>
      <t xml:space="preserve">       of which inorganic (losses on NPE sales)</t>
    </r>
    <r>
      <rPr>
        <vertAlign val="superscript"/>
        <sz val="12"/>
        <color rgb="FF002F30"/>
        <rFont val="Piraeus Open Sans"/>
      </rPr>
      <t>4</t>
    </r>
  </si>
  <si>
    <r>
      <t xml:space="preserve">       of which one off items</t>
    </r>
    <r>
      <rPr>
        <vertAlign val="superscript"/>
        <sz val="12"/>
        <color rgb="FF002F30"/>
        <rFont val="Piraeus Open Sans"/>
      </rPr>
      <t>5</t>
    </r>
  </si>
  <si>
    <t>4. Q3.23 onwards inorganic impairments for loans include only losses on NPE sales transactions</t>
  </si>
  <si>
    <t>3. Other operating result includes dividend income; In Q1.24 € -43 million refer to the expenses related to the public offering of 27% of the Company’s shares held by the HFSF</t>
  </si>
  <si>
    <t>o/w one-off</t>
  </si>
  <si>
    <r>
      <t>S&amp;P Global</t>
    </r>
    <r>
      <rPr>
        <vertAlign val="superscript"/>
        <sz val="12"/>
        <color rgb="FF002F30"/>
        <rFont val="Piraeus Open Sans"/>
      </rPr>
      <t>2</t>
    </r>
  </si>
  <si>
    <r>
      <t xml:space="preserve">of which one-off fees </t>
    </r>
    <r>
      <rPr>
        <i/>
        <vertAlign val="superscript"/>
        <sz val="12"/>
        <color rgb="FF002F30"/>
        <rFont val="Piraeus Open Sans"/>
      </rPr>
      <t>(3)</t>
    </r>
  </si>
  <si>
    <t xml:space="preserve">of which other one-off </t>
  </si>
  <si>
    <t>(5) Q3.23 impairments on other assets include small impact from Sunshine closing; Q4.24 impairments include NPA clean up costs and a charitbale contribution for schools renovation/construction</t>
  </si>
  <si>
    <t>5. For Q4.24 one offs comprise repossesed clean-up costs and an extraordinary provision for the Bank’s contribution to the government program for schools renovation/construction.  For an analysis of all PnL one-off items refer to spreadsheet "EPS calculations"</t>
  </si>
  <si>
    <t>Ermis I</t>
  </si>
  <si>
    <t>Ermis II</t>
  </si>
  <si>
    <t>Ermis III</t>
  </si>
  <si>
    <t>Investors</t>
  </si>
  <si>
    <t>Portfolio perimeter 
as at Dec.24</t>
  </si>
  <si>
    <t>RWA release 
as at Dec.24</t>
  </si>
  <si>
    <t>Effective date</t>
  </si>
  <si>
    <t>Type of loans</t>
  </si>
  <si>
    <t>CRC</t>
  </si>
  <si>
    <t>EIF / EIB</t>
  </si>
  <si>
    <t>amounts in €mn</t>
  </si>
  <si>
    <t>DK &amp; 400 Capital</t>
  </si>
  <si>
    <t>Ermis VII</t>
  </si>
  <si>
    <t>Ermis VI</t>
  </si>
  <si>
    <t>EBRD, CRC &amp; VELD</t>
  </si>
  <si>
    <t>EBRD &amp; CQS</t>
  </si>
  <si>
    <t>Portfolio perimeter 
at inception</t>
  </si>
  <si>
    <t>RWA release 
at inception</t>
  </si>
  <si>
    <t>Corporate / SME / SB</t>
  </si>
  <si>
    <t>Ermis IV (Triton)</t>
  </si>
  <si>
    <t>Shipping</t>
  </si>
  <si>
    <t>Ermis V (M)</t>
  </si>
  <si>
    <t>SYNTHETIC SECURITIZATIONS OF PERFORMING LOANS</t>
  </si>
  <si>
    <t>Synthetic securitizations of performing loans</t>
  </si>
  <si>
    <t>Charitbale contribution for schools construction</t>
  </si>
  <si>
    <t>Net fee income &amp; rental/non bank income</t>
  </si>
  <si>
    <r>
      <t xml:space="preserve">Impairment on other assets </t>
    </r>
    <r>
      <rPr>
        <vertAlign val="superscript"/>
        <sz val="12"/>
        <color rgb="FF002F30"/>
        <rFont val="Piraeus Open Sans"/>
      </rPr>
      <t>(1)</t>
    </r>
  </si>
  <si>
    <t>(1) Q3.23 impairments on other assets include small impact from Sunshine closing</t>
  </si>
  <si>
    <t>1. One off fees refer to acquiring fees for 2023, and for Q2.24 they are related with the migration in a new partnership in the cards payments space</t>
  </si>
  <si>
    <t>(1) For 31.03.2023 figure includes Sunrise 3 NPE loan portfolio, Solar NPE loan portfolio, Sunshine Leasing NPE portfolio along with other corporate NPE tickets similarly categorized</t>
  </si>
  <si>
    <t>(2) For 30.06.2023 figure includes Sunrise 3 NPE loan portfolio, Solar NPE loan portfolio, Sunshine Leasing NPE portfolio, Delta NPE loan portfolio along with other corporate NPE tickets similarly categorized</t>
  </si>
  <si>
    <t>(3) For 30.09.2023 figure includes Sunrise 3 NPE loan portfolio, Solar NPE loan portfolio, Delta NPE loan portfolio along with other corporate NPE tickets similarly categorized</t>
  </si>
  <si>
    <t>(4) For 31.12.2023 figure includes Solar NPE loan portfolio, Delta NPE loan portfolio, Monza NPE loan portfolio along with other corporate NPE tickets similarly categorized</t>
  </si>
  <si>
    <t>(5) For 31.03.2024 figure includes Solar NPE loan portfolio, Delta NPE loan portfolio, Monza NPE loan portfolio along with other corporate NPE tickets similarly categorized</t>
  </si>
  <si>
    <t>(6) For 30.06.2024 figure includes Solar NPE loan portfolio, Monza NPE loan portfolio along with other corporate NPE tickets similarly categorized</t>
  </si>
  <si>
    <t>(7) For 30.09.2024 figure includes Solar NPE loan portfolio, along with other corporate NPE tickets similarly categorized</t>
  </si>
  <si>
    <t>(8) For 31.12.2024 figure includes NPE, NPA portfolios and corporate NPE tickets similarly categorized</t>
  </si>
  <si>
    <t>(1)  Q3.23 general expenses include €16mn extraordinary costs to mitigate the impact of extreme weather phenomena</t>
  </si>
  <si>
    <t>(3)  For Q2.24 , €12mn one-off fees relate with a strategic partnership in the cards space</t>
  </si>
  <si>
    <t>(6) Normalized profits are calculated under an assumption of normalized tax rate. A projected effective corporate tax rate of 26% has been used for 2023, based on Piraeus business plan assumptions for 2023. As of Q1.24 normalized profits are calculated adjusting one-off items for the 29% tax rate</t>
  </si>
  <si>
    <t>Other Discontinued</t>
  </si>
  <si>
    <t>Q1.25</t>
  </si>
  <si>
    <t>Q1 2025</t>
  </si>
  <si>
    <t>BB+ (Positive)</t>
  </si>
  <si>
    <t>BB+ (Stable)</t>
  </si>
  <si>
    <t>Baa2 (Stable)</t>
  </si>
  <si>
    <t>BBB (Stable)</t>
  </si>
  <si>
    <r>
      <t>Profit before tax</t>
    </r>
    <r>
      <rPr>
        <b/>
        <sz val="12"/>
        <color rgb="FF3885FF"/>
        <rFont val="Piraeus Open Sans"/>
      </rPr>
      <t xml:space="preserve"> </t>
    </r>
    <r>
      <rPr>
        <b/>
        <sz val="12"/>
        <color rgb="FF296ED4"/>
        <rFont val="Piraeus Open Sans"/>
      </rPr>
      <t>normalized</t>
    </r>
  </si>
  <si>
    <r>
      <t>Net profit</t>
    </r>
    <r>
      <rPr>
        <b/>
        <sz val="12"/>
        <color rgb="FF3885FF"/>
        <rFont val="Piraeus Open Sans"/>
      </rPr>
      <t xml:space="preserve"> </t>
    </r>
    <r>
      <rPr>
        <b/>
        <sz val="12"/>
        <color rgb="FF296ED4"/>
        <rFont val="Piraeus Open Sans"/>
      </rPr>
      <t>core</t>
    </r>
  </si>
  <si>
    <r>
      <t xml:space="preserve">Tax </t>
    </r>
    <r>
      <rPr>
        <b/>
        <sz val="12"/>
        <color rgb="FF296ED4"/>
        <rFont val="Piraeus Open Sans"/>
      </rPr>
      <t>normalized</t>
    </r>
    <r>
      <rPr>
        <b/>
        <vertAlign val="superscript"/>
        <sz val="12"/>
        <color rgb="FF296ED4"/>
        <rFont val="Piraeus Open Sans"/>
      </rPr>
      <t>6</t>
    </r>
  </si>
  <si>
    <r>
      <t>Gross loans</t>
    </r>
    <r>
      <rPr>
        <b/>
        <vertAlign val="superscript"/>
        <sz val="12"/>
        <color rgb="FF002F30"/>
        <rFont val="Piraeus Open Sans"/>
      </rPr>
      <t>7</t>
    </r>
  </si>
  <si>
    <r>
      <t xml:space="preserve">      of which NPEs</t>
    </r>
    <r>
      <rPr>
        <vertAlign val="superscript"/>
        <sz val="12"/>
        <color rgb="FF002F30"/>
        <rFont val="Piraeus Open Sans"/>
      </rPr>
      <t>7</t>
    </r>
  </si>
  <si>
    <t>7. Gross loans, Net loans and NPEs include loans and advances to customers at fair valued through P&amp;L</t>
  </si>
  <si>
    <t>Core operating income</t>
  </si>
  <si>
    <r>
      <t xml:space="preserve">Net trading result normalized </t>
    </r>
    <r>
      <rPr>
        <vertAlign val="superscript"/>
        <sz val="12"/>
        <color rgb="FF002F30"/>
        <rFont val="Piraeus Open Sans"/>
      </rPr>
      <t>(2)</t>
    </r>
  </si>
  <si>
    <r>
      <t xml:space="preserve">Other operating result normalized </t>
    </r>
    <r>
      <rPr>
        <vertAlign val="superscript"/>
        <sz val="12"/>
        <color rgb="FF002F30"/>
        <rFont val="Piraeus Open Sans"/>
      </rPr>
      <t>(3)</t>
    </r>
  </si>
  <si>
    <r>
      <t>Normalized operating profit</t>
    </r>
    <r>
      <rPr>
        <b/>
        <vertAlign val="superscript"/>
        <sz val="12"/>
        <color rgb="FF002F30"/>
        <rFont val="Piraeus Open Sans"/>
      </rPr>
      <t>(4)</t>
    </r>
  </si>
  <si>
    <r>
      <t>Normalized Operating Profit</t>
    </r>
    <r>
      <rPr>
        <b/>
        <vertAlign val="superscript"/>
        <sz val="12"/>
        <color rgb="FF002F30"/>
        <rFont val="Piraeus Open Sans"/>
      </rPr>
      <t>(4)</t>
    </r>
  </si>
  <si>
    <r>
      <t>Inorganic impairments (losses on NPE sales)</t>
    </r>
    <r>
      <rPr>
        <vertAlign val="superscript"/>
        <sz val="12"/>
        <color rgb="FF002F30"/>
        <rFont val="Piraeus Open Sans"/>
      </rPr>
      <t>(5)</t>
    </r>
  </si>
  <si>
    <r>
      <t>Fee, trading and other operating result one offs</t>
    </r>
    <r>
      <rPr>
        <vertAlign val="superscript"/>
        <sz val="12"/>
        <color rgb="FF002F30"/>
        <rFont val="Piraeus Open Sans"/>
      </rPr>
      <t>(8)</t>
    </r>
  </si>
  <si>
    <r>
      <t>Operating costs one offs</t>
    </r>
    <r>
      <rPr>
        <vertAlign val="superscript"/>
        <sz val="12"/>
        <color rgb="FF002F30"/>
        <rFont val="Piraeus Open Sans"/>
      </rPr>
      <t>(6)</t>
    </r>
  </si>
  <si>
    <r>
      <t xml:space="preserve">Tax normalization adjustment </t>
    </r>
    <r>
      <rPr>
        <vertAlign val="superscript"/>
        <sz val="12"/>
        <color rgb="FF002F30"/>
        <rFont val="Piraeus Open Sans"/>
      </rPr>
      <t>(7)</t>
    </r>
  </si>
  <si>
    <t>23. Liabilities from discontinued operations &amp; held for sale</t>
  </si>
  <si>
    <t>(9) For 31.03.2025 figure includes NPE, NPA portfolios and corporate NPE tickets similarly categorized</t>
  </si>
  <si>
    <t>** Loan figures do not include loans and advances to customers fair valued through P&amp;L. LLRs do not include ECL allowance for impairment losses on loans and advances to customers      mandatorily measured at FVTPL</t>
  </si>
  <si>
    <r>
      <t>CET 1 ratio</t>
    </r>
    <r>
      <rPr>
        <b/>
        <vertAlign val="superscript"/>
        <sz val="12"/>
        <color rgb="FF002F30"/>
        <rFont val="Piraeus Open Sans"/>
      </rPr>
      <t>8</t>
    </r>
  </si>
  <si>
    <r>
      <t>Total capital ratio</t>
    </r>
    <r>
      <rPr>
        <b/>
        <vertAlign val="superscript"/>
        <sz val="12"/>
        <color rgb="FF002F30"/>
        <rFont val="Piraeus Open Sans"/>
      </rPr>
      <t>8</t>
    </r>
  </si>
  <si>
    <t>(3) Other operating result includes dividend income</t>
  </si>
  <si>
    <t>(4) As of Q1.24 normalized profits incorporate one-off items post 29% tax rate</t>
  </si>
  <si>
    <t xml:space="preserve">(5) Q3.23 onwards inorganic impairments for loans include only losses on NPE sales transactions; Q4.23 impairments relate with Monza NPE loan portfolio; Q4.24 impairments relate with NPE and repossesed HFS portfolios as well as a charitable contribution for schools renovation/construction </t>
  </si>
  <si>
    <t>(6) Q3.23 one-offs comprise €15mn reversal of talent retention accruals due to share buyback and €1mn VES costs booked in staff costs and €15.5mn extraordinary costs to mitigate impact from wildfires and extreme weather phenomena booked in G&amp;A costs;
 Q4.23 one-offs comprise €56mn VES costs, €4mn share buyback accruals expensed for talent retention and €4mn subsidy for low paid employees booked in staff costs. FY.24 one-offs refer to VES costs</t>
  </si>
  <si>
    <t>(7) Normalized profits are calculated under an assumption of normalized tax rate. A projected effective corporate tax rate of 26% has been used for 2023, based on Piraeus business plan assumptions for 2023. As of Q1.2024 normalized profits are calculated adjusting one-off items for the 29% tax rate</t>
  </si>
  <si>
    <t>(8) For Q2.24 , €12mn one-off fees relate with a strategic partnership in the cards space</t>
  </si>
  <si>
    <t>H1 2025 DATA OF PIRAEUS FINANCIAL HOLDINGS</t>
  </si>
  <si>
    <t>Q2 2025</t>
  </si>
  <si>
    <t>H1 2024</t>
  </si>
  <si>
    <t>H1 2025</t>
  </si>
  <si>
    <t>P&amp;L SEGMENT VIEW H1.25</t>
  </si>
  <si>
    <t>Q2.25</t>
  </si>
  <si>
    <t xml:space="preserve">€400mn 6.75% 
PerpNC5.5 AT1 Notes </t>
  </si>
  <si>
    <t>6.75% | Semi-Annual</t>
  </si>
  <si>
    <t>459.6 bps</t>
  </si>
  <si>
    <t>200k x 1k</t>
  </si>
  <si>
    <t>XS3103647031</t>
  </si>
  <si>
    <t>€500mn 3.000% 
3.5NC2.5 SP Green Notes 
due 2028</t>
  </si>
  <si>
    <t>3.000% | Annual</t>
  </si>
  <si>
    <t>115 bps</t>
  </si>
  <si>
    <t>XS3085616079</t>
  </si>
  <si>
    <r>
      <t xml:space="preserve">Assets adjusted </t>
    </r>
    <r>
      <rPr>
        <sz val="12"/>
        <color rgb="FF002F30"/>
        <rFont val="Piraeus Open Sans"/>
      </rPr>
      <t>(excl. discontinued operations, seasonal agri-loan)</t>
    </r>
  </si>
  <si>
    <r>
      <t xml:space="preserve">Net loans </t>
    </r>
    <r>
      <rPr>
        <sz val="12"/>
        <color rgb="FF002F30"/>
        <rFont val="Piraeus Open Sans"/>
      </rPr>
      <t>(excl. seasonal agri-loan)</t>
    </r>
    <r>
      <rPr>
        <vertAlign val="superscript"/>
        <sz val="12"/>
        <color rgb="FF002F30"/>
        <rFont val="Piraeus Open Sans"/>
      </rPr>
      <t>7</t>
    </r>
  </si>
  <si>
    <r>
      <t>2. Seasonal agri-loan</t>
    </r>
    <r>
      <rPr>
        <b/>
        <vertAlign val="superscript"/>
        <sz val="12"/>
        <color rgb="FF002F30"/>
        <rFont val="Piraeus Open Sans"/>
      </rPr>
      <t>1</t>
    </r>
  </si>
  <si>
    <t>(1) Agri-loan relates to a seasonal funding facility to Greek farmers (EU subsidized bridge financing); the loan is granted close to year end and is repaid early next year</t>
  </si>
  <si>
    <t>* Corporate lending excludes seasonal agri-loan of €951mn for Dec.23, €919mn for Dec.24 and €574mn for Mar.25</t>
  </si>
  <si>
    <t>2.Seasonal agri-loan to farmers</t>
  </si>
  <si>
    <t>Rating (Moody's/S&amp;P/Fitch)</t>
  </si>
  <si>
    <t>Baa2 / BB+ / -</t>
  </si>
  <si>
    <t>Baa2 / - / BB+</t>
  </si>
  <si>
    <t>Baa2 / - / -</t>
  </si>
  <si>
    <t>Ba2 / - / BB-</t>
  </si>
  <si>
    <t>Ba2 / - / -</t>
  </si>
  <si>
    <t>B1 / CCC / -</t>
  </si>
  <si>
    <t>B1 / - / -</t>
  </si>
  <si>
    <t>6. Normalized profits are calculated under an assumption of normalized tax rate. A projected effective corporate tax rate of 26% has been used for 2023, based on Piraeus business plan assumptions for 2023; as of Q1.24 normalized profits are calculated adjusting one-off items for the 29% tax rate</t>
  </si>
  <si>
    <t>8. Capital ratios for June and September 2023 are pro-forma for the RWA relief from the Sunrise 3, Solar NPE securitizations and the RWA of the Delta and Wheel NPE portfolios, classified as HFS as at 30 September 2023; capital ratios for December 2023 are pro forma for RWA relief mainly from the Solar NPE securitizations and the RWA of the Delta, Monza NPE portfolios, classified as HFS as at 31 December 2023, as well as the capital accretion from the new issuance of Tier 2 in January 2024; capital ratios for March 2024 are pro forma for RWA relief mainly from the Solar NPE securitizations and the RWA of the Delta, Monza NPE portfolios, classified as HFS as at 31 March 2024; capital ratios for June 2024 are pro forma for the RWA relief mainly from the Solar NPE securitization and the Monza NPE portfolio, classified as HFS as at 30 June  2024 and taking into account the revised credit quality step (CQS) mapping of the ICAP-CRIF external credit assessment institution (‘ECAI’), as per the recently published EU Commission Implementing Regulation (EU) 2024/1872 of 1 July 2024; capital ratios for September 2024 are pro forma for the RWA relief mainly from the Solar NPE securitization, classified as HFS as at 30 September  2024;  capital ratios for December 2024, March 2025 and June 2025 are pro forma for the RWA relief mainly from the NPE portfolios and real estate assets, classified as HFS as at in the respective dates</t>
  </si>
  <si>
    <t>(10) For 30.06.2025 figure includes NPE, NPA portfolios and corporate NPE tickets similarly categorized</t>
  </si>
  <si>
    <r>
      <t xml:space="preserve">13. Assets from discontinued operations &amp; held for sale </t>
    </r>
    <r>
      <rPr>
        <vertAlign val="superscript"/>
        <sz val="12"/>
        <color rgb="FF002F30"/>
        <rFont val="Piraeus Open Sans"/>
      </rPr>
      <t>(1,2,3,4,5,6,7,8,9,10)</t>
    </r>
  </si>
  <si>
    <t>3. Gross loans and advances to customers (includes loans at FVTPL)</t>
  </si>
  <si>
    <t>(1) Pro-forma ratios adjusted for the RWA relief of the sale of NPE loan portfolios and any other regulatory capital adjustments illustrated in quarterly reporting. For June and September 2023 pro-forma for the RWA relief from the Sunrise 3, Solar, NPE securitizations and the RWA of the Delta and Wheel NPE portfolios, classified as HFS as at 30 June 2023; for December 2023 pro-forma for the RWA relief from the Solar NPE securitization and the RWA of the Delta, Wheel NPE portfolios, classified as HFS as at 30 June 2023 and the RWA of the Monza NPE portfolio, classified as HFS as at 31 December 2023 as well as the capital accretion from the new issuance of Tier 2 in January 2024; for March 2024 pro forma for the RWA relief from the Solar NPE securitizations and the RWA of the Delta, Wheel, Monza NPE portfolios, classified as HFS as at 31 March 2024; MREL at 31 Mar.24 proforma for the RWA relief from the NPE securitizations and sales to be completed in the forthcoming period and the new €500mn Senior Preferred bond issued in Apr.24; for June 2024 pro forma for the RWA relief mainly from the Solar NPE securitization and the RWA Monza NPE portfolio, classified as HFS as at 30 June  2024, and the new Tier 2 issued in Sep.24, and taking into account the revised credit quality step (CQS) mapping of the ICAP-CRIF external credit assessment institution (‘ECAI’), as per the recently published EU Commission Implementing Regulation (EU) 2024/1872 of 1 July 2024; MREL at 30 Jun.24 also proforma for the new €650mn Green Senior Preferred bond issued in Jul.24; for September 2024 pro forma for the RWA relief mainly from the Solar NPE securitization, classified as HFS as at 30 September  2024; for December 2024 pro forma for the RWA relief from the Solar and Imola NPE portfolios as well as real estate assets, classified as HFS as at 31 December 2024; for March 2025 pro forma for the RWA relief from the Solar and Imola NPE portfolios as well as real estate assets, classified as HFS as at 31 March 2025; for June 2025 pro forma for the RWA relief from the Solar and Imola NPE portfolios as well as real estate assets, classified as HFS as at 30 June 2025</t>
  </si>
  <si>
    <t>Underlying cost of risk (including post model adjustments "PMA")</t>
  </si>
  <si>
    <t>3. Non maturing deposit hedging cost corresponds to €10bn IRSs executed during late Dec.23 and Q1.24; €10bn as at Jun.25</t>
  </si>
  <si>
    <t>Cards</t>
  </si>
  <si>
    <t xml:space="preserve">     &gt;&gt; SME / Agri</t>
  </si>
  <si>
    <r>
      <t>o/w underlying and post model adjustments "PMA"</t>
    </r>
    <r>
      <rPr>
        <vertAlign val="superscript"/>
        <sz val="12"/>
        <color theme="0" tint="-0.499984740745262"/>
        <rFont val="Piraeus Open Sans"/>
      </rPr>
      <t>(8)</t>
    </r>
  </si>
  <si>
    <t>(8) €52mn undrlying cost of risk in Q2.25 include €45mn mortgage post model adjustment for proactive reprofiling of paying balances, including performing CHF loans treatment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</si>
</sst>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3">
    <numFmt numFmtId="43" formatCode="_-* #,##0.00_-;\-* #,##0.00_-;_-* &quot;-&quot;??_-;_-@_-"/>
    <numFmt numFmtId="164" formatCode="_-* #,##0\ &quot;€&quot;_-;\-* #,##0\ &quot;€&quot;_-;_-* &quot;-&quot;\ &quot;€&quot;_-;_-@_-"/>
    <numFmt numFmtId="165" formatCode="_-* #,##0.00\ &quot;€&quot;_-;\-* #,##0.00\ &quot;€&quot;_-;_-* &quot;-&quot;??\ &quot;€&quot;_-;_-@_-"/>
    <numFmt numFmtId="166" formatCode="_-* #,##0\ _€_-;\-* #,##0\ _€_-;_-* &quot;-&quot;\ _€_-;_-@_-"/>
    <numFmt numFmtId="167" formatCode="_-* #,##0.00\ _€_-;\-* #,##0.00\ _€_-;_-* &quot;-&quot;??\ _€_-;_-@_-"/>
    <numFmt numFmtId="168" formatCode="_-* #,##0.00\ _Δ_ρ_χ_-;\-* #,##0.00\ _Δ_ρ_χ_-;_-* &quot;-&quot;??\ _Δ_ρ_χ_-;_-@_-"/>
    <numFmt numFmtId="169" formatCode="0.0%"/>
    <numFmt numFmtId="170" formatCode="0.0"/>
    <numFmt numFmtId="171" formatCode="#,##0.000"/>
    <numFmt numFmtId="172" formatCode="_-* #,##0.00\ [$€]_-;\-* #,##0.00\ [$€]_-;_-* &quot;-&quot;??\ [$€]_-;_-@_-"/>
    <numFmt numFmtId="173" formatCode="d/m/yyyy;@"/>
    <numFmt numFmtId="174" formatCode="#,##0.0;&quot;( &quot;#,##0.0&quot;)&quot;"/>
    <numFmt numFmtId="175" formatCode="d\ mmm\ yyyy"/>
    <numFmt numFmtId="176" formatCode="#0.00000000"/>
    <numFmt numFmtId="177" formatCode="#,###.00"/>
    <numFmt numFmtId="178" formatCode="#,###.000"/>
    <numFmt numFmtId="179" formatCode="0.000"/>
    <numFmt numFmtId="180" formatCode="#.000"/>
    <numFmt numFmtId="181" formatCode="#"/>
    <numFmt numFmtId="182" formatCode="#.00"/>
    <numFmt numFmtId="183" formatCode="#,###.0"/>
    <numFmt numFmtId="184" formatCode="#,###.0000"/>
    <numFmt numFmtId="185" formatCode="#,###.00000"/>
    <numFmt numFmtId="186" formatCode="#,###.000000"/>
    <numFmt numFmtId="187" formatCode="#,###.0000000"/>
    <numFmt numFmtId="188" formatCode="#,###.00000000"/>
    <numFmt numFmtId="189" formatCode="#,##0\ ;\-#,##0\ "/>
    <numFmt numFmtId="190" formatCode="#,#00"/>
    <numFmt numFmtId="191" formatCode="00\ 00\ 00\ 00\ 00"/>
    <numFmt numFmtId="192" formatCode="#,##0\ &quot;Δρχ&quot;;[Red]\-#,##0\ &quot;Δρχ&quot;"/>
    <numFmt numFmtId="193" formatCode="#,##0.00\ &quot;Δρχ&quot;;[Red]\-#,##0.00\ &quot;Δρχ&quot;"/>
    <numFmt numFmtId="194" formatCode="_-* #,##0_-;\-* #,##0_-;_-* &quot;-&quot;??_-;_-@_-"/>
    <numFmt numFmtId="195" formatCode="#,##0.00;&quot;( &quot;#,##0.00&quot;)&quot;"/>
    <numFmt numFmtId="196" formatCode="#,##0.0000;&quot;( &quot;#,##0.0000&quot;)&quot;"/>
    <numFmt numFmtId="197" formatCode="_-* #,##0.00\ [$€-1]_-;\-* #,##0.00\ [$€-1]_-;_-* &quot;-&quot;??\ [$€-1]_-"/>
    <numFmt numFmtId="198" formatCode="#,##0;&quot;( &quot;#,##0&quot;)&quot;"/>
    <numFmt numFmtId="199" formatCode="#,##0.0"/>
    <numFmt numFmtId="200" formatCode="0.0000000"/>
    <numFmt numFmtId="201" formatCode="_-* #,##0.0000_-;\-* #,##0.0000_-;_-* &quot;-&quot;??_-;_-@_-"/>
    <numFmt numFmtId="202" formatCode="#,##0_ ;\-#,##0\ "/>
    <numFmt numFmtId="203" formatCode="[$-F800]dddd\,\ mmmm\ dd\,\ yyyy"/>
    <numFmt numFmtId="204" formatCode="[$-409]d\-mmm\-yy;@"/>
    <numFmt numFmtId="205" formatCode="0.000000000000000%"/>
  </numFmts>
  <fonts count="172" x14ac:knownFonts="1">
    <font>
      <sz val="10"/>
      <name val="Arial"/>
      <charset val="161"/>
    </font>
    <font>
      <sz val="11"/>
      <color theme="1"/>
      <name val="Calibri"/>
      <family val="2"/>
      <scheme val="minor"/>
    </font>
    <font>
      <sz val="11"/>
      <color theme="1"/>
      <name val="Calibri"/>
      <family val="2"/>
      <scheme val="minor"/>
    </font>
    <font>
      <sz val="10"/>
      <name val="Arial"/>
      <family val="2"/>
      <charset val="161"/>
    </font>
    <font>
      <sz val="10"/>
      <name val="Arial"/>
      <family val="2"/>
      <charset val="161"/>
    </font>
    <font>
      <b/>
      <sz val="18"/>
      <color indexed="56"/>
      <name val="Cambria"/>
      <family val="2"/>
      <charset val="161"/>
    </font>
    <font>
      <b/>
      <sz val="15"/>
      <color indexed="56"/>
      <name val="Calibri"/>
      <family val="2"/>
      <charset val="161"/>
    </font>
    <font>
      <b/>
      <sz val="13"/>
      <color indexed="56"/>
      <name val="Calibri"/>
      <family val="2"/>
      <charset val="161"/>
    </font>
    <font>
      <b/>
      <sz val="11"/>
      <color indexed="56"/>
      <name val="Calibri"/>
      <family val="2"/>
      <charset val="161"/>
    </font>
    <font>
      <sz val="11"/>
      <color indexed="17"/>
      <name val="Calibri"/>
      <family val="2"/>
      <charset val="161"/>
    </font>
    <font>
      <sz val="11"/>
      <color indexed="20"/>
      <name val="Calibri"/>
      <family val="2"/>
      <charset val="161"/>
    </font>
    <font>
      <sz val="11"/>
      <color indexed="60"/>
      <name val="Calibri"/>
      <family val="2"/>
      <charset val="161"/>
    </font>
    <font>
      <sz val="11"/>
      <color indexed="62"/>
      <name val="Calibri"/>
      <family val="2"/>
      <charset val="161"/>
    </font>
    <font>
      <b/>
      <sz val="11"/>
      <color indexed="63"/>
      <name val="Calibri"/>
      <family val="2"/>
      <charset val="161"/>
    </font>
    <font>
      <b/>
      <sz val="11"/>
      <color indexed="52"/>
      <name val="Calibri"/>
      <family val="2"/>
      <charset val="161"/>
    </font>
    <font>
      <sz val="11"/>
      <color indexed="52"/>
      <name val="Calibri"/>
      <family val="2"/>
      <charset val="161"/>
    </font>
    <font>
      <b/>
      <sz val="11"/>
      <color indexed="9"/>
      <name val="Calibri"/>
      <family val="2"/>
      <charset val="161"/>
    </font>
    <font>
      <sz val="11"/>
      <color indexed="10"/>
      <name val="Calibri"/>
      <family val="2"/>
      <charset val="161"/>
    </font>
    <font>
      <i/>
      <sz val="11"/>
      <color indexed="23"/>
      <name val="Calibri"/>
      <family val="2"/>
      <charset val="161"/>
    </font>
    <font>
      <b/>
      <sz val="11"/>
      <color indexed="8"/>
      <name val="Calibri"/>
      <family val="2"/>
      <charset val="161"/>
    </font>
    <font>
      <sz val="11"/>
      <color indexed="9"/>
      <name val="Calibri"/>
      <family val="2"/>
      <charset val="161"/>
    </font>
    <font>
      <sz val="11"/>
      <color indexed="8"/>
      <name val="Calibri"/>
      <family val="2"/>
      <charset val="161"/>
    </font>
    <font>
      <sz val="10"/>
      <name val="Arial Greek"/>
      <charset val="161"/>
    </font>
    <font>
      <sz val="10"/>
      <name val="Arial"/>
      <family val="2"/>
      <charset val="161"/>
    </font>
    <font>
      <sz val="8"/>
      <name val="Arial"/>
      <family val="2"/>
      <charset val="161"/>
    </font>
    <font>
      <sz val="10"/>
      <color indexed="8"/>
      <name val="Arial"/>
      <family val="2"/>
      <charset val="161"/>
    </font>
    <font>
      <sz val="10"/>
      <color indexed="47"/>
      <name val="Arial"/>
      <family val="2"/>
    </font>
    <font>
      <sz val="14"/>
      <name val="Arial"/>
      <family val="2"/>
    </font>
    <font>
      <b/>
      <sz val="14"/>
      <color indexed="9"/>
      <name val="Arial"/>
      <family val="2"/>
    </font>
    <font>
      <b/>
      <sz val="10"/>
      <color indexed="9"/>
      <name val="Arial"/>
      <family val="2"/>
    </font>
    <font>
      <sz val="10"/>
      <name val="Arial"/>
      <family val="2"/>
    </font>
    <font>
      <b/>
      <sz val="10"/>
      <name val="Arial"/>
      <family val="2"/>
    </font>
    <font>
      <u/>
      <sz val="12"/>
      <color indexed="18"/>
      <name val="Arial"/>
      <family val="2"/>
      <charset val="161"/>
    </font>
    <font>
      <sz val="10"/>
      <name val="Arial"/>
      <family val="2"/>
      <charset val="204"/>
    </font>
    <font>
      <sz val="1"/>
      <color indexed="8"/>
      <name val="Courier"/>
      <family val="1"/>
      <charset val="161"/>
    </font>
    <font>
      <sz val="10"/>
      <color indexed="8"/>
      <name val="Arial"/>
      <family val="2"/>
      <charset val="161"/>
    </font>
    <font>
      <b/>
      <sz val="1"/>
      <color indexed="8"/>
      <name val="Courier"/>
      <family val="1"/>
      <charset val="161"/>
    </font>
    <font>
      <sz val="10"/>
      <name val="MS Sans Serif"/>
      <family val="2"/>
      <charset val="161"/>
    </font>
    <font>
      <sz val="10"/>
      <color indexed="8"/>
      <name val="Arial"/>
      <family val="2"/>
      <charset val="204"/>
    </font>
    <font>
      <sz val="11"/>
      <color indexed="8"/>
      <name val="Calibri"/>
      <family val="2"/>
      <charset val="204"/>
    </font>
    <font>
      <sz val="10"/>
      <name val="Courier"/>
      <family val="1"/>
      <charset val="161"/>
    </font>
    <font>
      <sz val="10"/>
      <name val="MS Sans Serif"/>
      <family val="2"/>
      <charset val="161"/>
    </font>
    <font>
      <sz val="8"/>
      <color indexed="8"/>
      <name val="Trebuchet MS"/>
      <family val="2"/>
    </font>
    <font>
      <b/>
      <sz val="9"/>
      <color indexed="9"/>
      <name val="Trebuchet MS"/>
      <family val="2"/>
    </font>
    <font>
      <b/>
      <sz val="8"/>
      <color indexed="62"/>
      <name val="Trebuchet MS"/>
      <family val="2"/>
    </font>
    <font>
      <sz val="12"/>
      <color indexed="18"/>
      <name val="Calibri"/>
      <family val="2"/>
      <charset val="161"/>
      <scheme val="minor"/>
    </font>
    <font>
      <b/>
      <sz val="12"/>
      <color indexed="18"/>
      <name val="Calibri"/>
      <family val="2"/>
      <charset val="161"/>
      <scheme val="minor"/>
    </font>
    <font>
      <sz val="10"/>
      <name val="Calibri"/>
      <family val="2"/>
      <charset val="161"/>
      <scheme val="minor"/>
    </font>
    <font>
      <sz val="12"/>
      <color rgb="FF000080"/>
      <name val="Calibri"/>
      <family val="2"/>
      <charset val="161"/>
      <scheme val="minor"/>
    </font>
    <font>
      <b/>
      <sz val="12"/>
      <color rgb="FF000080"/>
      <name val="Calibri"/>
      <family val="2"/>
      <charset val="161"/>
      <scheme val="minor"/>
    </font>
    <font>
      <sz val="12"/>
      <name val="Calibri"/>
      <family val="2"/>
      <charset val="161"/>
      <scheme val="minor"/>
    </font>
    <font>
      <b/>
      <sz val="11"/>
      <color indexed="18"/>
      <name val="Calibri"/>
      <family val="2"/>
      <charset val="161"/>
      <scheme val="minor"/>
    </font>
    <font>
      <u/>
      <sz val="12"/>
      <color indexed="18"/>
      <name val="Calibri"/>
      <family val="2"/>
      <charset val="161"/>
      <scheme val="minor"/>
    </font>
    <font>
      <b/>
      <sz val="20"/>
      <color indexed="18"/>
      <name val="Calibri"/>
      <family val="2"/>
      <charset val="161"/>
      <scheme val="minor"/>
    </font>
    <font>
      <b/>
      <sz val="10"/>
      <name val="Calibri"/>
      <family val="2"/>
      <charset val="161"/>
      <scheme val="minor"/>
    </font>
    <font>
      <sz val="10"/>
      <color indexed="18"/>
      <name val="Calibri"/>
      <family val="2"/>
      <charset val="161"/>
      <scheme val="minor"/>
    </font>
    <font>
      <sz val="8"/>
      <name val="Calibri"/>
      <family val="2"/>
      <charset val="161"/>
      <scheme val="minor"/>
    </font>
    <font>
      <b/>
      <sz val="12"/>
      <color indexed="10"/>
      <name val="Calibri"/>
      <family val="2"/>
      <charset val="161"/>
      <scheme val="minor"/>
    </font>
    <font>
      <i/>
      <sz val="10"/>
      <color indexed="18"/>
      <name val="Calibri"/>
      <family val="2"/>
      <charset val="161"/>
      <scheme val="minor"/>
    </font>
    <font>
      <sz val="11"/>
      <color theme="1"/>
      <name val="Calibri"/>
      <family val="2"/>
      <charset val="161"/>
      <scheme val="minor"/>
    </font>
    <font>
      <sz val="14"/>
      <color indexed="18"/>
      <name val="Calibri"/>
      <family val="2"/>
      <charset val="161"/>
      <scheme val="minor"/>
    </font>
    <font>
      <sz val="10"/>
      <color rgb="FF000080"/>
      <name val="Calibri"/>
      <family val="2"/>
      <charset val="161"/>
      <scheme val="minor"/>
    </font>
    <font>
      <sz val="10"/>
      <color theme="5"/>
      <name val="Calibri"/>
      <family val="2"/>
      <charset val="161"/>
      <scheme val="minor"/>
    </font>
    <font>
      <b/>
      <sz val="12"/>
      <color rgb="FF0070C0"/>
      <name val="Calibri"/>
      <family val="2"/>
      <charset val="161"/>
      <scheme val="minor"/>
    </font>
    <font>
      <b/>
      <sz val="11"/>
      <color rgb="FF0070C0"/>
      <name val="Calibri"/>
      <family val="2"/>
      <charset val="161"/>
      <scheme val="minor"/>
    </font>
    <font>
      <sz val="11"/>
      <name val="Calibri"/>
      <family val="2"/>
      <charset val="161"/>
      <scheme val="minor"/>
    </font>
    <font>
      <b/>
      <sz val="11"/>
      <name val="Calibri"/>
      <family val="2"/>
      <charset val="161"/>
      <scheme val="minor"/>
    </font>
    <font>
      <sz val="10"/>
      <name val="Arial"/>
      <family val="2"/>
      <charset val="161"/>
    </font>
    <font>
      <i/>
      <sz val="10"/>
      <color rgb="FFFF0000"/>
      <name val="Calibri"/>
      <family val="2"/>
      <charset val="161"/>
      <scheme val="minor"/>
    </font>
    <font>
      <sz val="10"/>
      <color theme="1"/>
      <name val="Arial"/>
      <family val="2"/>
    </font>
    <font>
      <sz val="12"/>
      <name val="Arial"/>
      <family val="2"/>
    </font>
    <font>
      <sz val="10"/>
      <name val="Courier"/>
      <family val="3"/>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20"/>
      <name val="Calibri"/>
      <family val="2"/>
    </font>
    <font>
      <sz val="12"/>
      <name val="Times New Roman"/>
      <family val="1"/>
    </font>
    <font>
      <b/>
      <sz val="11"/>
      <color indexed="63"/>
      <name val="Calibri"/>
      <family val="2"/>
    </font>
    <font>
      <sz val="11"/>
      <color indexed="10"/>
      <name val="Calibri"/>
      <family val="2"/>
    </font>
    <font>
      <i/>
      <sz val="11"/>
      <color indexed="23"/>
      <name val="Calibri"/>
      <family val="2"/>
    </font>
    <font>
      <b/>
      <sz val="18"/>
      <color indexed="38"/>
      <name val="Cambria"/>
      <family val="2"/>
    </font>
    <font>
      <b/>
      <sz val="15"/>
      <color indexed="38"/>
      <name val="Calibri"/>
      <family val="2"/>
    </font>
    <font>
      <b/>
      <sz val="13"/>
      <color indexed="38"/>
      <name val="Calibri"/>
      <family val="2"/>
    </font>
    <font>
      <b/>
      <sz val="11"/>
      <color indexed="38"/>
      <name val="Calibri"/>
      <family val="2"/>
    </font>
    <font>
      <u/>
      <sz val="10"/>
      <color theme="10"/>
      <name val="Arial"/>
      <family val="2"/>
    </font>
    <font>
      <sz val="10"/>
      <color indexed="8"/>
      <name val="Arial"/>
      <family val="2"/>
    </font>
    <font>
      <sz val="10"/>
      <color indexed="60"/>
      <name val="Arial"/>
      <family val="2"/>
    </font>
    <font>
      <sz val="10"/>
      <color indexed="17"/>
      <name val="Arial"/>
      <family val="2"/>
    </font>
    <font>
      <b/>
      <sz val="10"/>
      <color indexed="52"/>
      <name val="Arial"/>
      <family val="2"/>
    </font>
    <font>
      <b/>
      <sz val="10"/>
      <color indexed="60"/>
      <name val="Arial"/>
      <family val="2"/>
    </font>
    <font>
      <sz val="10"/>
      <color indexed="52"/>
      <name val="Arial"/>
      <family val="2"/>
    </font>
    <font>
      <b/>
      <sz val="11"/>
      <color indexed="63"/>
      <name val="Arial"/>
      <family val="2"/>
    </font>
    <font>
      <sz val="10"/>
      <color indexed="54"/>
      <name val="Arial"/>
      <family val="2"/>
    </font>
    <font>
      <sz val="10"/>
      <color indexed="20"/>
      <name val="Arial"/>
      <family val="2"/>
    </font>
    <font>
      <sz val="10"/>
      <color indexed="19"/>
      <name val="Arial"/>
      <family val="2"/>
    </font>
    <font>
      <b/>
      <sz val="10"/>
      <color indexed="38"/>
      <name val="Arial"/>
      <family val="2"/>
    </font>
    <font>
      <sz val="10"/>
      <color indexed="10"/>
      <name val="Arial"/>
      <family val="2"/>
    </font>
    <font>
      <i/>
      <sz val="10"/>
      <color indexed="23"/>
      <name val="Arial"/>
      <family val="2"/>
    </font>
    <font>
      <b/>
      <sz val="15"/>
      <color indexed="63"/>
      <name val="Arial"/>
      <family val="2"/>
    </font>
    <font>
      <b/>
      <sz val="13"/>
      <color indexed="63"/>
      <name val="Arial"/>
      <family val="2"/>
    </font>
    <font>
      <b/>
      <sz val="18"/>
      <color indexed="63"/>
      <name val="Cambria"/>
      <family val="2"/>
    </font>
    <font>
      <b/>
      <sz val="10"/>
      <color indexed="8"/>
      <name val="Arial"/>
      <family val="2"/>
    </font>
    <font>
      <sz val="11"/>
      <color theme="1"/>
      <name val="Calibri"/>
      <family val="2"/>
    </font>
    <font>
      <b/>
      <sz val="12"/>
      <color theme="0"/>
      <name val="Calibri"/>
      <family val="2"/>
      <charset val="161"/>
      <scheme val="minor"/>
    </font>
    <font>
      <sz val="14"/>
      <name val="Calibri"/>
      <family val="2"/>
      <charset val="161"/>
      <scheme val="minor"/>
    </font>
    <font>
      <sz val="18"/>
      <color indexed="18"/>
      <name val="Calibri"/>
      <family val="2"/>
      <charset val="161"/>
      <scheme val="minor"/>
    </font>
    <font>
      <sz val="18"/>
      <name val="Calibri"/>
      <family val="2"/>
      <charset val="161"/>
      <scheme val="minor"/>
    </font>
    <font>
      <b/>
      <sz val="18"/>
      <color indexed="18"/>
      <name val="Calibri"/>
      <family val="2"/>
      <charset val="161"/>
      <scheme val="minor"/>
    </font>
    <font>
      <b/>
      <sz val="18"/>
      <name val="Calibri"/>
      <family val="2"/>
      <charset val="161"/>
      <scheme val="minor"/>
    </font>
    <font>
      <sz val="10"/>
      <color theme="1"/>
      <name val="Calibri"/>
      <family val="2"/>
      <charset val="161"/>
      <scheme val="minor"/>
    </font>
    <font>
      <sz val="8"/>
      <name val="Arial"/>
      <family val="2"/>
      <charset val="161"/>
    </font>
    <font>
      <b/>
      <sz val="16"/>
      <color rgb="FF002F30"/>
      <name val="Piraeus Open Sans"/>
    </font>
    <font>
      <sz val="10"/>
      <color rgb="FF002F30"/>
      <name val="Piraeus Open Sans"/>
    </font>
    <font>
      <sz val="12"/>
      <color rgb="FF002F30"/>
      <name val="Piraeus Open Sans"/>
    </font>
    <font>
      <sz val="12"/>
      <name val="Piraeus Open Sans"/>
    </font>
    <font>
      <u/>
      <sz val="12"/>
      <color rgb="FF002F30"/>
      <name val="Piraeus Open Sans"/>
    </font>
    <font>
      <sz val="10"/>
      <color indexed="23"/>
      <name val="Piraeus Open Sans"/>
    </font>
    <font>
      <u/>
      <sz val="12"/>
      <color indexed="18"/>
      <name val="Piraeus Open Sans"/>
    </font>
    <font>
      <sz val="10"/>
      <name val="Piraeus Open Sans"/>
    </font>
    <font>
      <sz val="12"/>
      <color indexed="18"/>
      <name val="Piraeus Open Sans"/>
    </font>
    <font>
      <b/>
      <sz val="20"/>
      <color indexed="18"/>
      <name val="Piraeus Open Sans"/>
    </font>
    <font>
      <sz val="8"/>
      <name val="Piraeus Open Sans"/>
    </font>
    <font>
      <b/>
      <sz val="12"/>
      <color rgb="FF0070C0"/>
      <name val="Piraeus Open Sans"/>
    </font>
    <font>
      <b/>
      <sz val="12"/>
      <color rgb="FF002F30"/>
      <name val="Piraeus Open Sans"/>
    </font>
    <font>
      <b/>
      <sz val="12"/>
      <color indexed="18"/>
      <name val="Piraeus Open Sans"/>
    </font>
    <font>
      <vertAlign val="superscript"/>
      <sz val="12"/>
      <color rgb="FF002F30"/>
      <name val="Piraeus Open Sans"/>
    </font>
    <font>
      <sz val="10"/>
      <color rgb="FF000080"/>
      <name val="Piraeus Open Sans"/>
    </font>
    <font>
      <b/>
      <sz val="20"/>
      <color rgb="FF002F30"/>
      <name val="Piraeus Open Sans"/>
    </font>
    <font>
      <b/>
      <sz val="10"/>
      <color rgb="FF000080"/>
      <name val="Piraeus Open Sans"/>
    </font>
    <font>
      <sz val="9"/>
      <color theme="3"/>
      <name val="Piraeus Open Sans"/>
    </font>
    <font>
      <sz val="8"/>
      <color theme="0" tint="-0.34998626667073579"/>
      <name val="Piraeus Open Sans"/>
    </font>
    <font>
      <b/>
      <u/>
      <sz val="12"/>
      <color rgb="FF002F30"/>
      <name val="Piraeus Open Sans"/>
    </font>
    <font>
      <i/>
      <sz val="12"/>
      <color rgb="FF002F30"/>
      <name val="Piraeus Open Sans"/>
    </font>
    <font>
      <b/>
      <sz val="12"/>
      <color rgb="FFA8A30A"/>
      <name val="Piraeus Open Sans"/>
    </font>
    <font>
      <b/>
      <sz val="12"/>
      <color rgb="FFF55240"/>
      <name val="Piraeus Open Sans"/>
    </font>
    <font>
      <b/>
      <sz val="12"/>
      <color rgb="FF3885FF"/>
      <name val="Piraeus Open Sans"/>
    </font>
    <font>
      <b/>
      <sz val="12"/>
      <color rgb="FF296ED4"/>
      <name val="Piraeus Open Sans"/>
    </font>
    <font>
      <b/>
      <vertAlign val="superscript"/>
      <sz val="12"/>
      <color rgb="FF002F30"/>
      <name val="Piraeus Open Sans"/>
    </font>
    <font>
      <b/>
      <sz val="20"/>
      <color rgb="FFC9C2AE"/>
      <name val="Piraeus Open Sans"/>
    </font>
    <font>
      <b/>
      <vertAlign val="superscript"/>
      <sz val="12"/>
      <color rgb="FF296ED4"/>
      <name val="Piraeus Open Sans"/>
    </font>
    <font>
      <b/>
      <sz val="14"/>
      <color rgb="FF002F30"/>
      <name val="Piraeus Open Sans"/>
    </font>
    <font>
      <b/>
      <sz val="12"/>
      <color rgb="FFFFF5BF"/>
      <name val="Piraeus Open Sans"/>
    </font>
    <font>
      <b/>
      <sz val="13"/>
      <color rgb="FF002F30"/>
      <name val="Piraeus Open Sans"/>
    </font>
    <font>
      <i/>
      <sz val="12"/>
      <color theme="0" tint="-0.499984740745262"/>
      <name val="Piraeus Open Sans"/>
    </font>
    <font>
      <b/>
      <sz val="12"/>
      <color theme="0" tint="-0.499984740745262"/>
      <name val="Piraeus Open Sans"/>
    </font>
    <font>
      <sz val="10"/>
      <color rgb="FFC9C2AE"/>
      <name val="Piraeus Open Sans"/>
    </font>
    <font>
      <b/>
      <i/>
      <sz val="12"/>
      <color rgb="FF002F30"/>
      <name val="Piraeus Open Sans"/>
    </font>
    <font>
      <i/>
      <vertAlign val="superscript"/>
      <sz val="12"/>
      <color rgb="FF002F30"/>
      <name val="Piraeus Open Sans"/>
    </font>
    <font>
      <sz val="12"/>
      <color theme="0" tint="-0.499984740745262"/>
      <name val="Piraeus Open Sans"/>
    </font>
    <font>
      <vertAlign val="superscript"/>
      <sz val="12"/>
      <color theme="0" tint="-0.499984740745262"/>
      <name val="Piraeus Open Sans"/>
    </font>
    <font>
      <b/>
      <i/>
      <sz val="14"/>
      <color rgb="FF002F30"/>
      <name val="Piraeus Open Sans"/>
    </font>
    <font>
      <b/>
      <vertAlign val="superscript"/>
      <sz val="14"/>
      <color rgb="FF002F30"/>
      <name val="Piraeus Open Sans"/>
    </font>
    <font>
      <sz val="8"/>
      <color rgb="FF002F30"/>
      <name val="Piraeus Open Sans"/>
    </font>
    <font>
      <sz val="10"/>
      <color indexed="18"/>
      <name val="Piraeus Open Sans"/>
    </font>
    <font>
      <sz val="9"/>
      <color rgb="FF000080"/>
      <name val="Piraeus Open Sans"/>
    </font>
    <font>
      <sz val="9"/>
      <color rgb="FF002F30"/>
      <name val="Piraeus Open Sans"/>
    </font>
    <font>
      <sz val="8"/>
      <color rgb="FF002F30"/>
      <name val="Calibri"/>
      <family val="2"/>
      <charset val="161"/>
      <scheme val="minor"/>
    </font>
    <font>
      <sz val="11"/>
      <color rgb="FF002F30"/>
      <name val="Piraeus Open Sans"/>
    </font>
    <font>
      <sz val="11"/>
      <name val="Piraeus Open Sans"/>
    </font>
    <font>
      <u/>
      <sz val="11"/>
      <color indexed="18"/>
      <name val="Piraeus Open Sans"/>
    </font>
    <font>
      <b/>
      <sz val="11"/>
      <color indexed="18"/>
      <name val="Piraeus Open Sans"/>
    </font>
    <font>
      <b/>
      <sz val="11"/>
      <color rgb="FF002F30"/>
      <name val="Piraeus Open Sans"/>
    </font>
    <font>
      <sz val="11"/>
      <color rgb="FF002F30"/>
      <name val="Calibri"/>
      <family val="2"/>
      <charset val="161"/>
      <scheme val="minor"/>
    </font>
    <font>
      <b/>
      <sz val="12"/>
      <color rgb="FFFF0000"/>
      <name val="Piraeus Open Sans"/>
    </font>
    <font>
      <sz val="14"/>
      <color rgb="FF002F30"/>
      <name val="Piraeus Open Sans"/>
    </font>
    <font>
      <b/>
      <u/>
      <vertAlign val="superscript"/>
      <sz val="12"/>
      <color rgb="FF002F30"/>
      <name val="Piraeus Open Sans"/>
    </font>
    <font>
      <sz val="10"/>
      <color rgb="FFFF0000"/>
      <name val="Piraeus Open Sans"/>
    </font>
    <font>
      <i/>
      <sz val="12"/>
      <name val="Piraeus Open Sans"/>
    </font>
    <font>
      <b/>
      <sz val="12"/>
      <name val="Calibri"/>
      <family val="2"/>
      <charset val="161"/>
      <scheme val="minor"/>
    </font>
  </fonts>
  <fills count="5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9"/>
      </patternFill>
    </fill>
    <fill>
      <patternFill patternType="solid">
        <fgColor indexed="43"/>
      </patternFill>
    </fill>
    <fill>
      <patternFill patternType="solid">
        <fgColor indexed="26"/>
      </patternFill>
    </fill>
    <fill>
      <patternFill patternType="solid">
        <fgColor indexed="47"/>
        <bgColor indexed="64"/>
      </patternFill>
    </fill>
    <fill>
      <patternFill patternType="solid">
        <fgColor indexed="22"/>
        <bgColor indexed="64"/>
      </patternFill>
    </fill>
    <fill>
      <patternFill patternType="solid">
        <fgColor indexed="48"/>
        <bgColor indexed="64"/>
      </patternFill>
    </fill>
    <fill>
      <patternFill patternType="solid">
        <fgColor indexed="29"/>
        <bgColor indexed="64"/>
      </patternFill>
    </fill>
    <fill>
      <patternFill patternType="solid">
        <fgColor indexed="32"/>
        <bgColor indexed="64"/>
      </patternFill>
    </fill>
    <fill>
      <patternFill patternType="solid">
        <fgColor indexed="9"/>
        <bgColor indexed="64"/>
      </patternFill>
    </fill>
    <fill>
      <patternFill patternType="solid">
        <fgColor indexed="26"/>
        <bgColor indexed="64"/>
      </patternFill>
    </fill>
    <fill>
      <patternFill patternType="solid">
        <fgColor indexed="44"/>
        <bgColor indexed="64"/>
      </patternFill>
    </fill>
    <fill>
      <patternFill patternType="lightGray">
        <bgColor indexed="44"/>
      </patternFill>
    </fill>
    <fill>
      <patternFill patternType="solid">
        <fgColor theme="0"/>
        <bgColor indexed="64"/>
      </patternFill>
    </fill>
    <fill>
      <patternFill patternType="solid">
        <fgColor rgb="FFFFFFCC"/>
        <bgColor indexed="64"/>
      </patternFill>
    </fill>
    <fill>
      <patternFill patternType="solid">
        <fgColor theme="0"/>
        <bgColor rgb="FF000000"/>
      </patternFill>
    </fill>
    <fill>
      <patternFill patternType="mediumGray">
        <fgColor indexed="9"/>
        <bgColor theme="0"/>
      </patternFill>
    </fill>
    <fill>
      <patternFill patternType="solid">
        <fgColor indexed="34"/>
      </patternFill>
    </fill>
    <fill>
      <patternFill patternType="solid">
        <fgColor indexed="35"/>
      </patternFill>
    </fill>
    <fill>
      <patternFill patternType="solid">
        <fgColor indexed="25"/>
      </patternFill>
    </fill>
    <fill>
      <patternFill patternType="solid">
        <fgColor indexed="54"/>
      </patternFill>
    </fill>
    <fill>
      <patternFill patternType="solid">
        <fgColor indexed="32"/>
      </patternFill>
    </fill>
    <fill>
      <patternFill patternType="solid">
        <fgColor indexed="24"/>
      </patternFill>
    </fill>
    <fill>
      <patternFill patternType="solid">
        <fgColor indexed="56"/>
      </patternFill>
    </fill>
    <fill>
      <patternFill patternType="solid">
        <fgColor theme="8" tint="0.59999389629810485"/>
        <bgColor indexed="64"/>
      </patternFill>
    </fill>
    <fill>
      <patternFill patternType="solid">
        <fgColor rgb="FF002F30"/>
        <bgColor indexed="64"/>
      </patternFill>
    </fill>
    <fill>
      <patternFill patternType="solid">
        <fgColor rgb="FFC9C2AE"/>
        <bgColor indexed="64"/>
      </patternFill>
    </fill>
    <fill>
      <patternFill patternType="solid">
        <fgColor rgb="FFFFF5BF"/>
        <bgColor indexed="64"/>
      </patternFill>
    </fill>
    <fill>
      <patternFill patternType="solid">
        <fgColor rgb="FF809797"/>
        <bgColor indexed="64"/>
      </patternFill>
    </fill>
    <fill>
      <patternFill patternType="solid">
        <fgColor rgb="FFCAC3AF"/>
        <bgColor indexed="64"/>
      </patternFill>
    </fill>
    <fill>
      <patternFill patternType="solid">
        <fgColor rgb="FFE4E1D7"/>
        <bgColor indexed="64"/>
      </patternFill>
    </fill>
    <fill>
      <patternFill patternType="mediumGray">
        <fgColor indexed="9"/>
        <bgColor rgb="FF809797"/>
      </patternFill>
    </fill>
    <fill>
      <patternFill patternType="mediumGray">
        <fgColor indexed="9"/>
        <bgColor rgb="FFCAC3AF"/>
      </patternFill>
    </fill>
    <fill>
      <patternFill patternType="solid">
        <fgColor rgb="FFFFF5BF"/>
        <bgColor rgb="FF000000"/>
      </patternFill>
    </fill>
    <fill>
      <patternFill patternType="solid">
        <fgColor rgb="FFE4E1D7"/>
        <bgColor rgb="FF000000"/>
      </patternFill>
    </fill>
    <fill>
      <patternFill patternType="mediumGray">
        <fgColor indexed="9"/>
        <bgColor rgb="FFFFF5BF"/>
      </patternFill>
    </fill>
  </fills>
  <borders count="14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hair">
        <color indexed="22"/>
      </left>
      <right style="hair">
        <color indexed="22"/>
      </right>
      <top style="hair">
        <color indexed="22"/>
      </top>
      <bottom style="hair">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hair">
        <color indexed="18"/>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ck">
        <color indexed="49"/>
      </bottom>
      <diagonal/>
    </border>
    <border>
      <left/>
      <right/>
      <top/>
      <bottom style="thick">
        <color indexed="35"/>
      </bottom>
      <diagonal/>
    </border>
    <border>
      <left/>
      <right/>
      <top/>
      <bottom style="medium">
        <color indexed="35"/>
      </bottom>
      <diagonal/>
    </border>
    <border>
      <left style="double">
        <color indexed="38"/>
      </left>
      <right style="double">
        <color indexed="38"/>
      </right>
      <top style="double">
        <color indexed="38"/>
      </top>
      <bottom style="double">
        <color indexed="38"/>
      </bottom>
      <diagonal/>
    </border>
    <border>
      <left style="thin">
        <color indexed="38"/>
      </left>
      <right style="thin">
        <color indexed="38"/>
      </right>
      <top style="thin">
        <color indexed="38"/>
      </top>
      <bottom style="thin">
        <color indexed="38"/>
      </bottom>
      <diagonal/>
    </border>
    <border>
      <left/>
      <right/>
      <top/>
      <bottom style="thick">
        <color indexed="24"/>
      </bottom>
      <diagonal/>
    </border>
    <border>
      <left/>
      <right/>
      <top/>
      <bottom style="medium">
        <color indexed="24"/>
      </bottom>
      <diagonal/>
    </border>
    <border>
      <left/>
      <right/>
      <top style="thin">
        <color indexed="49"/>
      </top>
      <bottom style="double">
        <color indexed="49"/>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38"/>
      </left>
      <right style="thin">
        <color indexed="38"/>
      </right>
      <top style="thin">
        <color indexed="38"/>
      </top>
      <bottom style="thin">
        <color indexed="38"/>
      </bottom>
      <diagonal/>
    </border>
    <border>
      <left/>
      <right/>
      <top style="thin">
        <color indexed="49"/>
      </top>
      <bottom style="double">
        <color indexed="49"/>
      </bottom>
      <diagonal/>
    </border>
    <border>
      <left style="thin">
        <color indexed="64"/>
      </left>
      <right style="thin">
        <color indexed="64"/>
      </right>
      <top style="hair">
        <color indexed="64"/>
      </top>
      <bottom style="hair">
        <color indexed="64"/>
      </bottom>
      <diagonal/>
    </border>
    <border>
      <left/>
      <right/>
      <top style="thin">
        <color theme="0" tint="-0.14996795556505021"/>
      </top>
      <bottom style="thin">
        <color theme="0" tint="-0.14996795556505021"/>
      </bottom>
      <diagonal/>
    </border>
    <border>
      <left/>
      <right/>
      <top/>
      <bottom style="thin">
        <color theme="0" tint="-0.14996795556505021"/>
      </bottom>
      <diagonal/>
    </border>
    <border>
      <left/>
      <right/>
      <top style="hair">
        <color indexed="64"/>
      </top>
      <bottom style="hair">
        <color indexed="64"/>
      </bottom>
      <diagonal/>
    </border>
    <border>
      <left/>
      <right/>
      <top style="thin">
        <color theme="0" tint="-0.14996795556505021"/>
      </top>
      <bottom style="thin">
        <color theme="0" tint="-0.14993743705557422"/>
      </bottom>
      <diagonal/>
    </border>
    <border>
      <left/>
      <right style="thin">
        <color indexed="64"/>
      </right>
      <top/>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thin">
        <color rgb="FF002F30"/>
      </top>
      <bottom style="thin">
        <color rgb="FF002F30"/>
      </bottom>
      <diagonal/>
    </border>
    <border>
      <left style="thin">
        <color rgb="FF002F30"/>
      </left>
      <right/>
      <top style="thin">
        <color rgb="FF002F30"/>
      </top>
      <bottom/>
      <diagonal/>
    </border>
    <border>
      <left/>
      <right/>
      <top style="thin">
        <color rgb="FF002F30"/>
      </top>
      <bottom/>
      <diagonal/>
    </border>
    <border>
      <left style="thin">
        <color rgb="FF002F30"/>
      </left>
      <right/>
      <top/>
      <bottom/>
      <diagonal/>
    </border>
    <border>
      <left style="thin">
        <color rgb="FF002F30"/>
      </left>
      <right/>
      <top style="thin">
        <color rgb="FF002F30"/>
      </top>
      <bottom style="thin">
        <color rgb="FF002F30"/>
      </bottom>
      <diagonal/>
    </border>
    <border>
      <left style="thin">
        <color rgb="FF002F30"/>
      </left>
      <right/>
      <top/>
      <bottom style="thin">
        <color rgb="FF002F30"/>
      </bottom>
      <diagonal/>
    </border>
    <border>
      <left/>
      <right/>
      <top/>
      <bottom style="thin">
        <color rgb="FF002F30"/>
      </bottom>
      <diagonal/>
    </border>
    <border>
      <left/>
      <right style="dashed">
        <color rgb="FF002F30"/>
      </right>
      <top style="thin">
        <color rgb="FF002F30"/>
      </top>
      <bottom style="thin">
        <color rgb="FF002F30"/>
      </bottom>
      <diagonal/>
    </border>
    <border>
      <left/>
      <right style="thin">
        <color rgb="FF002F30"/>
      </right>
      <top style="thin">
        <color rgb="FF002F30"/>
      </top>
      <bottom/>
      <diagonal/>
    </border>
    <border>
      <left/>
      <right style="thin">
        <color rgb="FF002F30"/>
      </right>
      <top/>
      <bottom/>
      <diagonal/>
    </border>
    <border>
      <left/>
      <right style="thin">
        <color rgb="FF002F30"/>
      </right>
      <top style="thin">
        <color rgb="FF002F30"/>
      </top>
      <bottom style="thin">
        <color rgb="FF002F30"/>
      </bottom>
      <diagonal/>
    </border>
    <border>
      <left/>
      <right style="dashed">
        <color rgb="FF002F30"/>
      </right>
      <top style="thin">
        <color rgb="FF002F30"/>
      </top>
      <bottom/>
      <diagonal/>
    </border>
    <border>
      <left/>
      <right style="dashed">
        <color rgb="FF002F30"/>
      </right>
      <top/>
      <bottom/>
      <diagonal/>
    </border>
    <border>
      <left/>
      <right style="thin">
        <color rgb="FF002F30"/>
      </right>
      <top/>
      <bottom style="thin">
        <color rgb="FF002F30"/>
      </bottom>
      <diagonal/>
    </border>
    <border>
      <left/>
      <right style="dashed">
        <color rgb="FF002F30"/>
      </right>
      <top/>
      <bottom style="thin">
        <color rgb="FF002F30"/>
      </bottom>
      <diagonal/>
    </border>
    <border>
      <left style="thin">
        <color rgb="FF002F30"/>
      </left>
      <right/>
      <top style="medium">
        <color rgb="FF007174"/>
      </top>
      <bottom style="medium">
        <color rgb="FF007174"/>
      </bottom>
      <diagonal/>
    </border>
    <border>
      <left/>
      <right/>
      <top style="medium">
        <color rgb="FF007174"/>
      </top>
      <bottom style="medium">
        <color rgb="FF007174"/>
      </bottom>
      <diagonal/>
    </border>
    <border>
      <left/>
      <right style="dashed">
        <color rgb="FF002F30"/>
      </right>
      <top style="medium">
        <color rgb="FF007174"/>
      </top>
      <bottom style="medium">
        <color rgb="FF007174"/>
      </bottom>
      <diagonal/>
    </border>
    <border>
      <left/>
      <right style="thin">
        <color rgb="FF002F30"/>
      </right>
      <top style="medium">
        <color rgb="FF007174"/>
      </top>
      <bottom style="medium">
        <color rgb="FF007174"/>
      </bottom>
      <diagonal/>
    </border>
    <border>
      <left style="thin">
        <color rgb="FF002F30"/>
      </left>
      <right/>
      <top style="medium">
        <color rgb="FF007174"/>
      </top>
      <bottom/>
      <diagonal/>
    </border>
    <border>
      <left/>
      <right/>
      <top style="medium">
        <color rgb="FF007174"/>
      </top>
      <bottom/>
      <diagonal/>
    </border>
    <border>
      <left/>
      <right style="dashed">
        <color rgb="FF002F30"/>
      </right>
      <top style="medium">
        <color rgb="FF007174"/>
      </top>
      <bottom/>
      <diagonal/>
    </border>
    <border>
      <left/>
      <right style="thin">
        <color rgb="FF002F30"/>
      </right>
      <top style="medium">
        <color rgb="FF007174"/>
      </top>
      <bottom/>
      <diagonal/>
    </border>
    <border>
      <left/>
      <right/>
      <top style="hair">
        <color indexed="18"/>
      </top>
      <bottom style="hair">
        <color indexed="18"/>
      </bottom>
      <diagonal/>
    </border>
    <border>
      <left/>
      <right/>
      <top style="hair">
        <color indexed="18"/>
      </top>
      <bottom/>
      <diagonal/>
    </border>
    <border>
      <left style="thin">
        <color rgb="FF002F30"/>
      </left>
      <right/>
      <top/>
      <bottom style="thin">
        <color theme="0" tint="-0.14996795556505021"/>
      </bottom>
      <diagonal/>
    </border>
    <border>
      <left/>
      <right style="thin">
        <color rgb="FF002F30"/>
      </right>
      <top/>
      <bottom style="thin">
        <color theme="0" tint="-0.14996795556505021"/>
      </bottom>
      <diagonal/>
    </border>
    <border>
      <left style="thin">
        <color rgb="FF002F30"/>
      </left>
      <right/>
      <top style="thin">
        <color theme="0" tint="-0.14996795556505021"/>
      </top>
      <bottom style="thin">
        <color theme="0" tint="-0.14996795556505021"/>
      </bottom>
      <diagonal/>
    </border>
    <border>
      <left/>
      <right style="thin">
        <color rgb="FF002F30"/>
      </right>
      <top style="thin">
        <color theme="0" tint="-0.14996795556505021"/>
      </top>
      <bottom style="thin">
        <color theme="0" tint="-0.14996795556505021"/>
      </bottom>
      <diagonal/>
    </border>
    <border>
      <left style="thin">
        <color rgb="FF002F30"/>
      </left>
      <right/>
      <top style="thin">
        <color theme="0" tint="-0.14996795556505021"/>
      </top>
      <bottom/>
      <diagonal/>
    </border>
    <border>
      <left style="thin">
        <color rgb="FF002F30"/>
      </left>
      <right/>
      <top style="dashed">
        <color rgb="FF002F30"/>
      </top>
      <bottom/>
      <diagonal/>
    </border>
    <border>
      <left/>
      <right/>
      <top style="dashed">
        <color rgb="FF002F30"/>
      </top>
      <bottom/>
      <diagonal/>
    </border>
    <border>
      <left/>
      <right style="thin">
        <color rgb="FF002F30"/>
      </right>
      <top style="dashed">
        <color rgb="FF002F30"/>
      </top>
      <bottom/>
      <diagonal/>
    </border>
    <border>
      <left style="thin">
        <color rgb="FF002F30"/>
      </left>
      <right/>
      <top/>
      <bottom style="dashed">
        <color rgb="FF002F30"/>
      </bottom>
      <diagonal/>
    </border>
    <border>
      <left/>
      <right/>
      <top/>
      <bottom style="dashed">
        <color rgb="FF002F30"/>
      </bottom>
      <diagonal/>
    </border>
    <border>
      <left style="thin">
        <color rgb="FF002F30"/>
      </left>
      <right style="thin">
        <color rgb="FF002F30"/>
      </right>
      <top style="thin">
        <color rgb="FF002F30"/>
      </top>
      <bottom/>
      <diagonal/>
    </border>
    <border>
      <left style="thin">
        <color rgb="FF002F30"/>
      </left>
      <right style="thin">
        <color rgb="FF002F30"/>
      </right>
      <top/>
      <bottom/>
      <diagonal/>
    </border>
    <border>
      <left style="thin">
        <color rgb="FF002F30"/>
      </left>
      <right style="thin">
        <color rgb="FF002F30"/>
      </right>
      <top/>
      <bottom style="thin">
        <color rgb="FF002F30"/>
      </bottom>
      <diagonal/>
    </border>
    <border>
      <left style="thin">
        <color rgb="FF002F30"/>
      </left>
      <right/>
      <top style="hair">
        <color indexed="18"/>
      </top>
      <bottom style="hair">
        <color indexed="18"/>
      </bottom>
      <diagonal/>
    </border>
    <border>
      <left/>
      <right style="thin">
        <color rgb="FF002F30"/>
      </right>
      <top style="hair">
        <color indexed="18"/>
      </top>
      <bottom style="hair">
        <color indexed="18"/>
      </bottom>
      <diagonal/>
    </border>
    <border>
      <left/>
      <right style="thin">
        <color rgb="FF002F30"/>
      </right>
      <top style="hair">
        <color indexed="18"/>
      </top>
      <bottom/>
      <diagonal/>
    </border>
    <border>
      <left style="thin">
        <color rgb="FF002F30"/>
      </left>
      <right/>
      <top/>
      <bottom style="hair">
        <color indexed="18"/>
      </bottom>
      <diagonal/>
    </border>
    <border>
      <left/>
      <right style="thin">
        <color rgb="FF002F30"/>
      </right>
      <top/>
      <bottom style="hair">
        <color indexed="18"/>
      </bottom>
      <diagonal/>
    </border>
    <border>
      <left style="thin">
        <color rgb="FF002F30"/>
      </left>
      <right/>
      <top style="hair">
        <color indexed="18"/>
      </top>
      <bottom style="thin">
        <color rgb="FF002F30"/>
      </bottom>
      <diagonal/>
    </border>
    <border>
      <left/>
      <right/>
      <top style="hair">
        <color indexed="18"/>
      </top>
      <bottom style="thin">
        <color rgb="FF002F30"/>
      </bottom>
      <diagonal/>
    </border>
    <border>
      <left/>
      <right style="thin">
        <color rgb="FF002F30"/>
      </right>
      <top style="hair">
        <color indexed="18"/>
      </top>
      <bottom style="thin">
        <color rgb="FF002F30"/>
      </bottom>
      <diagonal/>
    </border>
    <border>
      <left/>
      <right style="dashed">
        <color rgb="FF002F30"/>
      </right>
      <top style="hair">
        <color indexed="18"/>
      </top>
      <bottom style="hair">
        <color indexed="18"/>
      </bottom>
      <diagonal/>
    </border>
    <border>
      <left/>
      <right style="dashed">
        <color rgb="FF002F30"/>
      </right>
      <top style="hair">
        <color indexed="18"/>
      </top>
      <bottom/>
      <diagonal/>
    </border>
    <border>
      <left/>
      <right style="dashed">
        <color rgb="FF002F30"/>
      </right>
      <top/>
      <bottom style="hair">
        <color indexed="18"/>
      </bottom>
      <diagonal/>
    </border>
    <border>
      <left/>
      <right style="dashed">
        <color rgb="FF002F30"/>
      </right>
      <top style="hair">
        <color indexed="18"/>
      </top>
      <bottom style="thin">
        <color rgb="FF002F30"/>
      </bottom>
      <diagonal/>
    </border>
    <border>
      <left style="thin">
        <color rgb="FF002F30"/>
      </left>
      <right/>
      <top style="thin">
        <color rgb="FF002F30"/>
      </top>
      <bottom style="hair">
        <color indexed="18"/>
      </bottom>
      <diagonal/>
    </border>
    <border>
      <left/>
      <right/>
      <top style="thin">
        <color rgb="FF002F30"/>
      </top>
      <bottom style="hair">
        <color indexed="18"/>
      </bottom>
      <diagonal/>
    </border>
    <border>
      <left/>
      <right style="dashed">
        <color rgb="FF002F30"/>
      </right>
      <top style="thin">
        <color rgb="FF002F30"/>
      </top>
      <bottom style="hair">
        <color indexed="18"/>
      </bottom>
      <diagonal/>
    </border>
    <border>
      <left/>
      <right style="thin">
        <color rgb="FF002F30"/>
      </right>
      <top style="thin">
        <color rgb="FF002F30"/>
      </top>
      <bottom style="hair">
        <color indexed="18"/>
      </bottom>
      <diagonal/>
    </border>
    <border>
      <left style="thin">
        <color rgb="FF002F30"/>
      </left>
      <right/>
      <top style="hair">
        <color indexed="18"/>
      </top>
      <bottom/>
      <diagonal/>
    </border>
    <border>
      <left style="thin">
        <color rgb="FF002F30"/>
      </left>
      <right/>
      <top style="hair">
        <color rgb="FF002F30"/>
      </top>
      <bottom style="thin">
        <color rgb="FF002F30"/>
      </bottom>
      <diagonal/>
    </border>
    <border>
      <left/>
      <right/>
      <top style="hair">
        <color rgb="FF002F30"/>
      </top>
      <bottom style="thin">
        <color rgb="FF002F30"/>
      </bottom>
      <diagonal/>
    </border>
    <border>
      <left/>
      <right style="dashed">
        <color rgb="FF002F30"/>
      </right>
      <top style="hair">
        <color rgb="FF002F30"/>
      </top>
      <bottom style="thin">
        <color rgb="FF002F30"/>
      </bottom>
      <diagonal/>
    </border>
    <border>
      <left/>
      <right style="thin">
        <color rgb="FF002F30"/>
      </right>
      <top style="hair">
        <color rgb="FF002F30"/>
      </top>
      <bottom style="thin">
        <color rgb="FF002F30"/>
      </bottom>
      <diagonal/>
    </border>
    <border>
      <left style="thin">
        <color rgb="FF002F30"/>
      </left>
      <right/>
      <top style="hair">
        <color rgb="FF002F30"/>
      </top>
      <bottom style="hair">
        <color rgb="FF002F30"/>
      </bottom>
      <diagonal/>
    </border>
    <border>
      <left/>
      <right/>
      <top style="hair">
        <color rgb="FF002F30"/>
      </top>
      <bottom style="hair">
        <color rgb="FF002F30"/>
      </bottom>
      <diagonal/>
    </border>
    <border>
      <left/>
      <right style="dashed">
        <color rgb="FF002F30"/>
      </right>
      <top style="hair">
        <color rgb="FF002F30"/>
      </top>
      <bottom style="hair">
        <color rgb="FF002F30"/>
      </bottom>
      <diagonal/>
    </border>
    <border>
      <left/>
      <right style="thin">
        <color rgb="FF002F30"/>
      </right>
      <top style="hair">
        <color rgb="FF002F30"/>
      </top>
      <bottom style="hair">
        <color rgb="FF002F30"/>
      </bottom>
      <diagonal/>
    </border>
    <border>
      <left style="thin">
        <color rgb="FF002F30"/>
      </left>
      <right/>
      <top style="hair">
        <color rgb="FF002F30"/>
      </top>
      <bottom/>
      <diagonal/>
    </border>
    <border>
      <left/>
      <right/>
      <top style="hair">
        <color rgb="FF002F30"/>
      </top>
      <bottom/>
      <diagonal/>
    </border>
    <border>
      <left/>
      <right style="dashed">
        <color rgb="FF002F30"/>
      </right>
      <top style="hair">
        <color rgb="FF002F30"/>
      </top>
      <bottom/>
      <diagonal/>
    </border>
    <border>
      <left/>
      <right style="thin">
        <color rgb="FF002F30"/>
      </right>
      <top style="hair">
        <color rgb="FF002F30"/>
      </top>
      <bottom/>
      <diagonal/>
    </border>
    <border>
      <left style="thin">
        <color rgb="FF002F30"/>
      </left>
      <right/>
      <top/>
      <bottom style="hair">
        <color rgb="FF002F30"/>
      </bottom>
      <diagonal/>
    </border>
    <border>
      <left/>
      <right/>
      <top/>
      <bottom style="hair">
        <color rgb="FF002F30"/>
      </bottom>
      <diagonal/>
    </border>
    <border>
      <left/>
      <right style="dashed">
        <color rgb="FF002F30"/>
      </right>
      <top/>
      <bottom style="hair">
        <color rgb="FF002F30"/>
      </bottom>
      <diagonal/>
    </border>
    <border>
      <left/>
      <right style="thin">
        <color rgb="FF002F30"/>
      </right>
      <top/>
      <bottom style="hair">
        <color rgb="FF002F30"/>
      </bottom>
      <diagonal/>
    </border>
    <border>
      <left/>
      <right style="thin">
        <color rgb="FF002F30"/>
      </right>
      <top/>
      <bottom style="thin">
        <color theme="0" tint="-0.24994659260841701"/>
      </bottom>
      <diagonal/>
    </border>
    <border>
      <left/>
      <right style="thin">
        <color rgb="FF002F30"/>
      </right>
      <top style="thin">
        <color theme="0" tint="-0.24994659260841701"/>
      </top>
      <bottom style="thin">
        <color theme="0" tint="-0.24994659260841701"/>
      </bottom>
      <diagonal/>
    </border>
    <border>
      <left style="thin">
        <color rgb="FF002F30"/>
      </left>
      <right/>
      <top/>
      <bottom style="thin">
        <color indexed="64"/>
      </bottom>
      <diagonal/>
    </border>
    <border>
      <left/>
      <right/>
      <top/>
      <bottom style="thin">
        <color indexed="64"/>
      </bottom>
      <diagonal/>
    </border>
    <border>
      <left/>
      <right style="dashed">
        <color rgb="FF002F30"/>
      </right>
      <top/>
      <bottom style="thin">
        <color indexed="64"/>
      </bottom>
      <diagonal/>
    </border>
    <border>
      <left/>
      <right style="thin">
        <color rgb="FF002F30"/>
      </right>
      <top/>
      <bottom style="thin">
        <color indexed="64"/>
      </bottom>
      <diagonal/>
    </border>
    <border>
      <left style="thin">
        <color rgb="FF002F30"/>
      </left>
      <right/>
      <top style="dashed">
        <color rgb="FF002F30"/>
      </top>
      <bottom style="hair">
        <color rgb="FF002F30"/>
      </bottom>
      <diagonal/>
    </border>
    <border>
      <left/>
      <right/>
      <top style="dashed">
        <color rgb="FF002F30"/>
      </top>
      <bottom style="hair">
        <color rgb="FF002F30"/>
      </bottom>
      <diagonal/>
    </border>
    <border>
      <left/>
      <right style="dashed">
        <color rgb="FF002F30"/>
      </right>
      <top style="dashed">
        <color rgb="FF002F30"/>
      </top>
      <bottom style="hair">
        <color rgb="FF002F30"/>
      </bottom>
      <diagonal/>
    </border>
    <border>
      <left/>
      <right style="thin">
        <color rgb="FF002F30"/>
      </right>
      <top style="dashed">
        <color rgb="FF002F30"/>
      </top>
      <bottom style="hair">
        <color rgb="FF002F30"/>
      </bottom>
      <diagonal/>
    </border>
    <border>
      <left style="thin">
        <color rgb="FF002F30"/>
      </left>
      <right/>
      <top style="hair">
        <color rgb="FF002F30"/>
      </top>
      <bottom style="dashed">
        <color rgb="FF002F30"/>
      </bottom>
      <diagonal/>
    </border>
    <border>
      <left/>
      <right/>
      <top style="hair">
        <color rgb="FF002F30"/>
      </top>
      <bottom style="dashed">
        <color rgb="FF002F30"/>
      </bottom>
      <diagonal/>
    </border>
    <border>
      <left/>
      <right style="dashed">
        <color rgb="FF002F30"/>
      </right>
      <top style="hair">
        <color rgb="FF002F30"/>
      </top>
      <bottom style="dashed">
        <color rgb="FF002F30"/>
      </bottom>
      <diagonal/>
    </border>
    <border>
      <left/>
      <right style="thin">
        <color rgb="FF002F30"/>
      </right>
      <top style="hair">
        <color rgb="FF002F30"/>
      </top>
      <bottom style="dashed">
        <color rgb="FF002F30"/>
      </bottom>
      <diagonal/>
    </border>
    <border>
      <left/>
      <right/>
      <top style="thin">
        <color theme="0" tint="-0.24994659260841701"/>
      </top>
      <bottom style="thin">
        <color theme="0" tint="-0.34998626667073579"/>
      </bottom>
      <diagonal/>
    </border>
    <border>
      <left/>
      <right style="thin">
        <color rgb="FF002F30"/>
      </right>
      <top style="thin">
        <color theme="0" tint="-0.24994659260841701"/>
      </top>
      <bottom style="thin">
        <color theme="0" tint="-0.34998626667073579"/>
      </bottom>
      <diagonal/>
    </border>
    <border>
      <left/>
      <right/>
      <top style="thin">
        <color theme="0" tint="-0.24994659260841701"/>
      </top>
      <bottom/>
      <diagonal/>
    </border>
    <border>
      <left/>
      <right style="thin">
        <color indexed="64"/>
      </right>
      <top/>
      <bottom style="dashed">
        <color rgb="FF002F30"/>
      </bottom>
      <diagonal/>
    </border>
    <border>
      <left/>
      <right style="thin">
        <color indexed="64"/>
      </right>
      <top style="thin">
        <color theme="0" tint="-0.14996795556505021"/>
      </top>
      <bottom style="thin">
        <color theme="0" tint="-0.14996795556505021"/>
      </bottom>
      <diagonal/>
    </border>
    <border>
      <left/>
      <right style="thin">
        <color indexed="64"/>
      </right>
      <top/>
      <bottom style="thin">
        <color theme="0" tint="-0.14996795556505021"/>
      </bottom>
      <diagonal/>
    </border>
    <border>
      <left style="thin">
        <color rgb="FF002F30"/>
      </left>
      <right/>
      <top style="hair">
        <color rgb="FF002F30"/>
      </top>
      <bottom style="thin">
        <color theme="0" tint="-0.24994659260841701"/>
      </bottom>
      <diagonal/>
    </border>
    <border>
      <left style="thin">
        <color rgb="FF002F30"/>
      </left>
      <right/>
      <top style="thin">
        <color theme="0" tint="-0.24994659260841701"/>
      </top>
      <bottom style="thin">
        <color theme="0" tint="-0.24994659260841701"/>
      </bottom>
      <diagonal/>
    </border>
    <border>
      <left style="thin">
        <color rgb="FF002F30"/>
      </left>
      <right/>
      <top style="thin">
        <color theme="0" tint="-0.24994659260841701"/>
      </top>
      <bottom style="thin">
        <color theme="0" tint="-0.34998626667073579"/>
      </bottom>
      <diagonal/>
    </border>
    <border>
      <left/>
      <right style="thin">
        <color theme="1"/>
      </right>
      <top style="thin">
        <color theme="0" tint="-0.14996795556505021"/>
      </top>
      <bottom style="thin">
        <color theme="0" tint="-0.14996795556505021"/>
      </bottom>
      <diagonal/>
    </border>
    <border>
      <left style="thin">
        <color rgb="FF002F30"/>
      </left>
      <right/>
      <top style="thin">
        <color theme="0" tint="-0.24994659260841701"/>
      </top>
      <bottom style="thin">
        <color indexed="64"/>
      </bottom>
      <diagonal/>
    </border>
    <border>
      <left/>
      <right style="thin">
        <color indexed="64"/>
      </right>
      <top style="dashed">
        <color rgb="FF002F30"/>
      </top>
      <bottom style="hair">
        <color rgb="FF002F30"/>
      </bottom>
      <diagonal/>
    </border>
    <border>
      <left style="dashed">
        <color rgb="FF002F30"/>
      </left>
      <right style="dashed">
        <color rgb="FF002F30"/>
      </right>
      <top style="thin">
        <color rgb="FF002F30"/>
      </top>
      <bottom style="thin">
        <color rgb="FF002F30"/>
      </bottom>
      <diagonal/>
    </border>
    <border>
      <left style="dashed">
        <color rgb="FF002F30"/>
      </left>
      <right style="dashed">
        <color rgb="FF002F30"/>
      </right>
      <top style="thin">
        <color rgb="FF002F30"/>
      </top>
      <bottom/>
      <diagonal/>
    </border>
    <border>
      <left style="dashed">
        <color rgb="FF002F30"/>
      </left>
      <right style="dashed">
        <color rgb="FF002F30"/>
      </right>
      <top/>
      <bottom/>
      <diagonal/>
    </border>
    <border>
      <left style="dashed">
        <color rgb="FF002F30"/>
      </left>
      <right style="dashed">
        <color rgb="FF002F30"/>
      </right>
      <top/>
      <bottom style="thin">
        <color rgb="FF002F30"/>
      </bottom>
      <diagonal/>
    </border>
    <border>
      <left style="dashed">
        <color rgb="FF002F30"/>
      </left>
      <right style="dashed">
        <color rgb="FF002F30"/>
      </right>
      <top style="medium">
        <color rgb="FF007174"/>
      </top>
      <bottom style="medium">
        <color rgb="FF007174"/>
      </bottom>
      <diagonal/>
    </border>
    <border>
      <left style="dashed">
        <color rgb="FF002F30"/>
      </left>
      <right style="thin">
        <color rgb="FF002F30"/>
      </right>
      <top style="thin">
        <color rgb="FF002F30"/>
      </top>
      <bottom/>
      <diagonal/>
    </border>
    <border>
      <left style="dashed">
        <color rgb="FF002F30"/>
      </left>
      <right/>
      <top style="thin">
        <color rgb="FF002F30"/>
      </top>
      <bottom/>
      <diagonal/>
    </border>
    <border>
      <left style="dashed">
        <color rgb="FF002F30"/>
      </left>
      <right style="dashed">
        <color rgb="FF002F30"/>
      </right>
      <top style="medium">
        <color rgb="FF007174"/>
      </top>
      <bottom/>
      <diagonal/>
    </border>
    <border>
      <left/>
      <right style="thin">
        <color theme="0" tint="-0.14993743705557422"/>
      </right>
      <top/>
      <bottom style="thin">
        <color theme="0" tint="-0.14996795556505021"/>
      </bottom>
      <diagonal/>
    </border>
    <border>
      <left/>
      <right style="thin">
        <color theme="0" tint="-0.14993743705557422"/>
      </right>
      <top style="thin">
        <color theme="0" tint="-0.14996795556505021"/>
      </top>
      <bottom style="thin">
        <color theme="0" tint="-0.14996795556505021"/>
      </bottom>
      <diagonal/>
    </border>
    <border>
      <left/>
      <right style="thin">
        <color theme="0" tint="-0.14993743705557422"/>
      </right>
      <top/>
      <bottom/>
      <diagonal/>
    </border>
    <border>
      <left/>
      <right style="dashed">
        <color rgb="FF002F30"/>
      </right>
      <top/>
      <bottom style="dashed">
        <color rgb="FF002F30"/>
      </bottom>
      <diagonal/>
    </border>
    <border>
      <left/>
      <right/>
      <top style="thin">
        <color theme="0" tint="-0.24994659260841701"/>
      </top>
      <bottom style="thin">
        <color indexed="64"/>
      </bottom>
      <diagonal/>
    </border>
  </borders>
  <cellStyleXfs count="354">
    <xf numFmtId="0" fontId="0" fillId="0" borderId="0"/>
    <xf numFmtId="0" fontId="25" fillId="0" borderId="0">
      <alignment vertical="top"/>
    </xf>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5" borderId="0" applyNumberFormat="0" applyBorder="0" applyAlignment="0" applyProtection="0"/>
    <xf numFmtId="0" fontId="21" fillId="8" borderId="0" applyNumberFormat="0" applyBorder="0" applyAlignment="0" applyProtection="0"/>
    <xf numFmtId="0" fontId="21" fillId="11" borderId="0" applyNumberFormat="0" applyBorder="0" applyAlignment="0" applyProtection="0"/>
    <xf numFmtId="0" fontId="20" fillId="12"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43" fontId="33" fillId="0" borderId="0" applyFont="0" applyFill="0" applyBorder="0" applyAlignment="0" applyProtection="0"/>
    <xf numFmtId="3" fontId="23" fillId="0" borderId="0" applyFont="0" applyFill="0" applyBorder="0" applyAlignment="0" applyProtection="0"/>
    <xf numFmtId="0" fontId="34" fillId="0" borderId="0">
      <protection locked="0"/>
    </xf>
    <xf numFmtId="166" fontId="35" fillId="0" borderId="0" applyFont="0" applyFill="0" applyBorder="0" applyAlignment="0" applyProtection="0"/>
    <xf numFmtId="189" fontId="23" fillId="0" borderId="0" applyFont="0" applyFill="0" applyBorder="0" applyAlignment="0" applyProtection="0"/>
    <xf numFmtId="172" fontId="22" fillId="0" borderId="0" applyFont="0" applyFill="0" applyBorder="0" applyAlignment="0" applyProtection="0"/>
    <xf numFmtId="0" fontId="34" fillId="0" borderId="0">
      <protection locked="0"/>
    </xf>
    <xf numFmtId="0" fontId="34" fillId="0" borderId="0">
      <protection locked="0"/>
    </xf>
    <xf numFmtId="0" fontId="34" fillId="0" borderId="0">
      <protection locked="0"/>
    </xf>
    <xf numFmtId="0" fontId="34" fillId="0" borderId="0">
      <protection locked="0"/>
    </xf>
    <xf numFmtId="0" fontId="34" fillId="0" borderId="0">
      <protection locked="0"/>
    </xf>
    <xf numFmtId="0" fontId="34" fillId="0" borderId="0">
      <protection locked="0"/>
    </xf>
    <xf numFmtId="0" fontId="34" fillId="0" borderId="0">
      <protection locked="0"/>
    </xf>
    <xf numFmtId="190" fontId="34" fillId="0" borderId="0">
      <protection locked="0"/>
    </xf>
    <xf numFmtId="0" fontId="32" fillId="0" borderId="0" applyNumberFormat="0" applyFill="0" applyBorder="0" applyAlignment="0" applyProtection="0">
      <alignment vertical="top"/>
      <protection locked="0"/>
    </xf>
    <xf numFmtId="0" fontId="42" fillId="22" borderId="3" applyNumberFormat="0" applyBorder="0" applyProtection="0">
      <alignment vertical="center"/>
    </xf>
    <xf numFmtId="0" fontId="23" fillId="0" borderId="0"/>
    <xf numFmtId="0" fontId="36" fillId="0" borderId="0">
      <protection locked="0"/>
    </xf>
    <xf numFmtId="0" fontId="36" fillId="0" borderId="0">
      <protection locked="0"/>
    </xf>
    <xf numFmtId="0" fontId="32" fillId="0" borderId="0" applyNumberFormat="0" applyFill="0" applyBorder="0" applyAlignment="0" applyProtection="0">
      <alignment vertical="top"/>
      <protection locked="0"/>
    </xf>
    <xf numFmtId="166" fontId="23" fillId="0" borderId="0" applyFont="0" applyFill="0" applyBorder="0" applyAlignment="0" applyProtection="0"/>
    <xf numFmtId="167" fontId="23" fillId="0" borderId="0" applyFont="0" applyFill="0" applyBorder="0" applyAlignment="0" applyProtection="0"/>
    <xf numFmtId="0" fontId="37" fillId="0" borderId="0" applyFont="0" applyFill="0" applyBorder="0" applyAlignment="0" applyProtection="0"/>
    <xf numFmtId="0" fontId="37" fillId="0" borderId="0" applyFont="0" applyFill="0" applyBorder="0" applyAlignment="0" applyProtection="0"/>
    <xf numFmtId="164" fontId="23" fillId="0" borderId="0" applyFont="0" applyFill="0" applyBorder="0" applyAlignment="0" applyProtection="0"/>
    <xf numFmtId="165" fontId="23"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8" fillId="0" borderId="0"/>
    <xf numFmtId="0" fontId="4" fillId="0" borderId="0"/>
    <xf numFmtId="0" fontId="33" fillId="0" borderId="0"/>
    <xf numFmtId="0" fontId="33" fillId="0" borderId="0"/>
    <xf numFmtId="0" fontId="38" fillId="0" borderId="0"/>
    <xf numFmtId="0" fontId="33" fillId="0" borderId="0"/>
    <xf numFmtId="0" fontId="33" fillId="0" borderId="0"/>
    <xf numFmtId="0" fontId="39" fillId="0" borderId="0"/>
    <xf numFmtId="0" fontId="39" fillId="0" borderId="0"/>
    <xf numFmtId="0" fontId="39" fillId="0" borderId="0"/>
    <xf numFmtId="0" fontId="39" fillId="0" borderId="0"/>
    <xf numFmtId="0" fontId="39" fillId="0" borderId="0"/>
    <xf numFmtId="0" fontId="33" fillId="0" borderId="0"/>
    <xf numFmtId="0" fontId="33" fillId="0" borderId="0"/>
    <xf numFmtId="0" fontId="33" fillId="0" borderId="0"/>
    <xf numFmtId="0" fontId="33" fillId="0" borderId="0"/>
    <xf numFmtId="0" fontId="22" fillId="0" borderId="0"/>
    <xf numFmtId="0" fontId="23" fillId="0" borderId="0"/>
    <xf numFmtId="0" fontId="26" fillId="25" borderId="0"/>
    <xf numFmtId="0" fontId="27" fillId="26" borderId="0"/>
    <xf numFmtId="0" fontId="28" fillId="27" borderId="0">
      <alignment horizontal="left"/>
    </xf>
    <xf numFmtId="0" fontId="29" fillId="28" borderId="9">
      <alignment horizontal="left"/>
    </xf>
    <xf numFmtId="0" fontId="28" fillId="29" borderId="0"/>
    <xf numFmtId="175" fontId="23" fillId="30" borderId="9">
      <alignment horizontal="left"/>
      <protection locked="0"/>
    </xf>
    <xf numFmtId="3" fontId="23" fillId="30" borderId="9">
      <alignment horizontal="right"/>
      <protection locked="0"/>
    </xf>
    <xf numFmtId="4" fontId="23" fillId="30" borderId="9">
      <alignment horizontal="right"/>
      <protection locked="0"/>
    </xf>
    <xf numFmtId="176" fontId="23" fillId="30" borderId="9">
      <alignment horizontal="right"/>
      <protection locked="0"/>
    </xf>
    <xf numFmtId="177" fontId="23" fillId="30" borderId="9">
      <alignment horizontal="right"/>
      <protection locked="0"/>
    </xf>
    <xf numFmtId="178" fontId="23" fillId="30" borderId="9">
      <alignment horizontal="right"/>
      <protection locked="0"/>
    </xf>
    <xf numFmtId="179" fontId="23" fillId="30" borderId="9">
      <alignment horizontal="right"/>
      <protection locked="0"/>
    </xf>
    <xf numFmtId="180" fontId="23" fillId="30" borderId="9">
      <alignment horizontal="right"/>
      <protection locked="0"/>
    </xf>
    <xf numFmtId="171" fontId="23" fillId="30" borderId="9">
      <alignment horizontal="right"/>
      <protection locked="0"/>
    </xf>
    <xf numFmtId="2" fontId="23" fillId="30" borderId="9">
      <alignment horizontal="right"/>
      <protection locked="0"/>
    </xf>
    <xf numFmtId="181" fontId="23" fillId="30" borderId="9">
      <alignment horizontal="right"/>
      <protection locked="0"/>
    </xf>
    <xf numFmtId="182" fontId="23" fillId="30" borderId="9">
      <alignment horizontal="right"/>
      <protection locked="0"/>
    </xf>
    <xf numFmtId="170" fontId="23" fillId="30" borderId="9">
      <alignment horizontal="right"/>
      <protection locked="0"/>
    </xf>
    <xf numFmtId="1" fontId="23" fillId="30" borderId="9">
      <alignment horizontal="right"/>
      <protection locked="0"/>
    </xf>
    <xf numFmtId="183" fontId="23" fillId="30" borderId="9">
      <alignment horizontal="right"/>
      <protection locked="0"/>
    </xf>
    <xf numFmtId="177" fontId="23" fillId="30" borderId="9">
      <alignment horizontal="right"/>
      <protection locked="0"/>
    </xf>
    <xf numFmtId="178" fontId="23" fillId="30" borderId="9">
      <alignment horizontal="right"/>
      <protection locked="0"/>
    </xf>
    <xf numFmtId="184" fontId="23" fillId="30" borderId="9">
      <alignment horizontal="right"/>
      <protection locked="0"/>
    </xf>
    <xf numFmtId="185" fontId="23" fillId="30" borderId="9">
      <alignment horizontal="right"/>
      <protection locked="0"/>
    </xf>
    <xf numFmtId="186" fontId="23" fillId="30" borderId="9">
      <alignment horizontal="right"/>
      <protection locked="0"/>
    </xf>
    <xf numFmtId="187" fontId="23" fillId="30" borderId="9">
      <alignment horizontal="right"/>
      <protection locked="0"/>
    </xf>
    <xf numFmtId="188" fontId="23" fillId="30" borderId="9">
      <alignment horizontal="right"/>
      <protection locked="0"/>
    </xf>
    <xf numFmtId="49" fontId="23" fillId="30" borderId="9">
      <alignment horizontal="left"/>
      <protection locked="0"/>
    </xf>
    <xf numFmtId="49" fontId="30" fillId="30" borderId="9">
      <alignment horizontal="left" wrapText="1"/>
      <protection locked="0"/>
    </xf>
    <xf numFmtId="18" fontId="23" fillId="30" borderId="9">
      <alignment horizontal="left"/>
      <protection locked="0"/>
    </xf>
    <xf numFmtId="0" fontId="31" fillId="31" borderId="9">
      <alignment horizontal="center"/>
    </xf>
    <xf numFmtId="0" fontId="31" fillId="31" borderId="9">
      <alignment horizontal="center" wrapText="1"/>
    </xf>
    <xf numFmtId="175" fontId="31" fillId="31" borderId="9">
      <alignment horizontal="left"/>
    </xf>
    <xf numFmtId="0" fontId="31" fillId="31" borderId="9">
      <alignment horizontal="left"/>
    </xf>
    <xf numFmtId="0" fontId="31" fillId="31" borderId="9">
      <alignment horizontal="left" wrapText="1"/>
    </xf>
    <xf numFmtId="0" fontId="31" fillId="31" borderId="9">
      <alignment horizontal="right"/>
    </xf>
    <xf numFmtId="0" fontId="31" fillId="31" borderId="9">
      <alignment horizontal="right" wrapText="1"/>
    </xf>
    <xf numFmtId="175" fontId="23" fillId="32" borderId="9">
      <alignment horizontal="left"/>
    </xf>
    <xf numFmtId="3" fontId="23" fillId="32" borderId="9">
      <alignment horizontal="right"/>
    </xf>
    <xf numFmtId="4" fontId="23" fillId="32" borderId="9">
      <alignment horizontal="right"/>
    </xf>
    <xf numFmtId="176" fontId="23" fillId="32" borderId="9">
      <alignment horizontal="right"/>
    </xf>
    <xf numFmtId="177" fontId="23" fillId="32" borderId="9">
      <alignment horizontal="right"/>
    </xf>
    <xf numFmtId="178" fontId="23" fillId="32" borderId="9">
      <alignment horizontal="right"/>
      <protection locked="0"/>
    </xf>
    <xf numFmtId="179" fontId="23" fillId="32" borderId="9">
      <alignment horizontal="right"/>
    </xf>
    <xf numFmtId="180" fontId="23" fillId="32" borderId="9">
      <alignment horizontal="right"/>
    </xf>
    <xf numFmtId="171" fontId="23" fillId="32" borderId="9">
      <alignment horizontal="right"/>
    </xf>
    <xf numFmtId="2" fontId="23" fillId="32" borderId="9">
      <alignment horizontal="right"/>
    </xf>
    <xf numFmtId="181" fontId="23" fillId="32" borderId="9">
      <alignment horizontal="right"/>
    </xf>
    <xf numFmtId="182" fontId="23" fillId="32" borderId="9">
      <alignment horizontal="right"/>
    </xf>
    <xf numFmtId="170" fontId="23" fillId="32" borderId="9">
      <alignment horizontal="right"/>
    </xf>
    <xf numFmtId="1" fontId="23" fillId="32" borderId="9">
      <alignment horizontal="right"/>
    </xf>
    <xf numFmtId="183" fontId="23" fillId="32" borderId="9">
      <alignment horizontal="right"/>
    </xf>
    <xf numFmtId="177" fontId="23" fillId="32" borderId="9">
      <alignment horizontal="right"/>
    </xf>
    <xf numFmtId="178" fontId="23" fillId="32" borderId="9">
      <alignment horizontal="right"/>
    </xf>
    <xf numFmtId="184" fontId="23" fillId="32" borderId="9">
      <alignment horizontal="right"/>
    </xf>
    <xf numFmtId="185" fontId="23" fillId="32" borderId="9">
      <alignment horizontal="right"/>
    </xf>
    <xf numFmtId="186" fontId="23" fillId="32" borderId="9">
      <alignment horizontal="right"/>
    </xf>
    <xf numFmtId="187" fontId="23" fillId="32" borderId="9">
      <alignment horizontal="right"/>
    </xf>
    <xf numFmtId="188" fontId="23" fillId="32" borderId="9">
      <alignment horizontal="right"/>
    </xf>
    <xf numFmtId="49" fontId="23" fillId="32" borderId="9">
      <alignment horizontal="left"/>
    </xf>
    <xf numFmtId="49" fontId="23" fillId="32" borderId="9">
      <alignment horizontal="left" wrapText="1"/>
    </xf>
    <xf numFmtId="18" fontId="23" fillId="32" borderId="9">
      <alignment horizontal="left"/>
    </xf>
    <xf numFmtId="49" fontId="23" fillId="33" borderId="9">
      <alignment horizontal="left"/>
    </xf>
    <xf numFmtId="9" fontId="3" fillId="0" borderId="0" applyFont="0" applyFill="0" applyBorder="0" applyAlignment="0" applyProtection="0"/>
    <xf numFmtId="9" fontId="4" fillId="0" borderId="0" applyFont="0" applyFill="0" applyBorder="0" applyAlignment="0" applyProtection="0"/>
    <xf numFmtId="38" fontId="37" fillId="0" borderId="0" applyFont="0" applyFill="0" applyBorder="0" applyAlignment="0" applyProtection="0"/>
    <xf numFmtId="40" fontId="37" fillId="0" borderId="0" applyFont="0" applyFill="0" applyBorder="0" applyAlignment="0" applyProtection="0"/>
    <xf numFmtId="0" fontId="23" fillId="0" borderId="0"/>
    <xf numFmtId="0" fontId="25" fillId="0" borderId="0">
      <alignment vertical="top"/>
    </xf>
    <xf numFmtId="14" fontId="43" fillId="21" borderId="0" applyNumberFormat="0" applyBorder="0" applyProtection="0">
      <alignment horizontal="center" vertical="center" wrapText="1"/>
    </xf>
    <xf numFmtId="0" fontId="44" fillId="0" borderId="3" applyNumberFormat="0" applyBorder="0" applyProtection="0">
      <alignment vertical="center"/>
    </xf>
    <xf numFmtId="0" fontId="40" fillId="0" borderId="0"/>
    <xf numFmtId="167" fontId="23" fillId="0" borderId="0" applyFont="0" applyFill="0" applyBorder="0" applyAlignment="0" applyProtection="0"/>
    <xf numFmtId="164" fontId="35" fillId="0" borderId="0" applyFont="0" applyFill="0" applyBorder="0" applyAlignment="0" applyProtection="0"/>
    <xf numFmtId="165" fontId="35" fillId="0" borderId="0" applyFont="0" applyFill="0" applyBorder="0" applyAlignment="0" applyProtection="0"/>
    <xf numFmtId="0" fontId="22" fillId="0" borderId="0"/>
    <xf numFmtId="38" fontId="41" fillId="0" borderId="0" applyFont="0" applyFill="0" applyBorder="0" applyAlignment="0" applyProtection="0"/>
    <xf numFmtId="168" fontId="22" fillId="0" borderId="0" applyFont="0" applyFill="0" applyBorder="0" applyAlignment="0" applyProtection="0"/>
    <xf numFmtId="0" fontId="12" fillId="7" borderId="1" applyNumberFormat="0" applyAlignment="0" applyProtection="0"/>
    <xf numFmtId="0" fontId="16" fillId="21" borderId="2" applyNumberFormat="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9" borderId="0" applyNumberFormat="0" applyBorder="0" applyAlignment="0" applyProtection="0"/>
    <xf numFmtId="0" fontId="13" fillId="20" borderId="10" applyNumberFormat="0" applyAlignment="0" applyProtection="0"/>
    <xf numFmtId="0" fontId="18" fillId="0" borderId="0" applyNumberFormat="0" applyFill="0" applyBorder="0" applyAlignment="0" applyProtection="0"/>
    <xf numFmtId="0" fontId="6" fillId="0" borderId="4" applyNumberFormat="0" applyFill="0" applyAlignment="0" applyProtection="0"/>
    <xf numFmtId="0" fontId="7" fillId="0" borderId="5" applyNumberFormat="0" applyFill="0" applyAlignment="0" applyProtection="0"/>
    <xf numFmtId="0" fontId="8" fillId="0" borderId="6" applyNumberFormat="0" applyFill="0" applyAlignment="0" applyProtection="0"/>
    <xf numFmtId="0" fontId="8" fillId="0" borderId="0" applyNumberFormat="0" applyFill="0" applyBorder="0" applyAlignment="0" applyProtection="0"/>
    <xf numFmtId="0" fontId="10" fillId="3" borderId="0" applyNumberFormat="0" applyBorder="0" applyAlignment="0" applyProtection="0"/>
    <xf numFmtId="0" fontId="9" fillId="4" borderId="0" applyNumberFormat="0" applyBorder="0" applyAlignment="0" applyProtection="0"/>
    <xf numFmtId="0" fontId="21" fillId="0" borderId="0"/>
    <xf numFmtId="0" fontId="4" fillId="0" borderId="0"/>
    <xf numFmtId="0" fontId="4" fillId="0" borderId="0"/>
    <xf numFmtId="191" fontId="4" fillId="0" borderId="0" applyFont="0" applyFill="0" applyBorder="0" applyAlignment="0" applyProtection="0"/>
    <xf numFmtId="191" fontId="4" fillId="0" borderId="0" applyFont="0" applyFill="0" applyBorder="0" applyAlignment="0" applyProtection="0"/>
    <xf numFmtId="192" fontId="41" fillId="0" borderId="0" applyFont="0" applyFill="0" applyBorder="0" applyAlignment="0" applyProtection="0"/>
    <xf numFmtId="193" fontId="41" fillId="0" borderId="0" applyFont="0" applyFill="0" applyBorder="0" applyAlignment="0" applyProtection="0"/>
    <xf numFmtId="0" fontId="11" fillId="23" borderId="0" applyNumberFormat="0" applyBorder="0" applyAlignment="0" applyProtection="0"/>
    <xf numFmtId="0" fontId="17" fillId="0" borderId="0" applyNumberFormat="0" applyFill="0" applyBorder="0" applyAlignment="0" applyProtection="0"/>
    <xf numFmtId="0" fontId="4" fillId="24" borderId="8" applyNumberFormat="0" applyFont="0" applyAlignment="0" applyProtection="0"/>
    <xf numFmtId="0" fontId="15" fillId="0" borderId="7" applyNumberFormat="0" applyFill="0" applyAlignment="0" applyProtection="0"/>
    <xf numFmtId="0" fontId="19" fillId="0" borderId="11" applyNumberFormat="0" applyFill="0" applyAlignment="0" applyProtection="0"/>
    <xf numFmtId="0" fontId="5" fillId="0" borderId="0" applyNumberFormat="0" applyFill="0" applyBorder="0" applyAlignment="0" applyProtection="0"/>
    <xf numFmtId="0" fontId="14" fillId="20" borderId="1" applyNumberFormat="0" applyAlignment="0" applyProtection="0"/>
    <xf numFmtId="9" fontId="4" fillId="0" borderId="0" applyFont="0" applyFill="0" applyBorder="0" applyAlignment="0" applyProtection="0"/>
    <xf numFmtId="0" fontId="2" fillId="0" borderId="0"/>
    <xf numFmtId="9" fontId="2" fillId="0" borderId="0" applyFont="0" applyFill="0" applyBorder="0" applyAlignment="0" applyProtection="0"/>
    <xf numFmtId="0" fontId="59" fillId="0" borderId="0"/>
    <xf numFmtId="9" fontId="59" fillId="0" borderId="0" applyFont="0" applyFill="0" applyBorder="0" applyAlignment="0" applyProtection="0"/>
    <xf numFmtId="0" fontId="2" fillId="0" borderId="0"/>
    <xf numFmtId="9" fontId="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67" fillId="0" borderId="0" applyFont="0" applyFill="0" applyBorder="0" applyAlignment="0" applyProtection="0"/>
    <xf numFmtId="0" fontId="69" fillId="0" borderId="0"/>
    <xf numFmtId="0" fontId="72" fillId="2" borderId="0" applyNumberFormat="0" applyBorder="0" applyAlignment="0" applyProtection="0"/>
    <xf numFmtId="0" fontId="72" fillId="7" borderId="0" applyNumberFormat="0" applyBorder="0" applyAlignment="0" applyProtection="0"/>
    <xf numFmtId="0" fontId="72" fillId="24" borderId="0" applyNumberFormat="0" applyBorder="0" applyAlignment="0" applyProtection="0"/>
    <xf numFmtId="0" fontId="72" fillId="38" borderId="0" applyNumberFormat="0" applyBorder="0" applyAlignment="0" applyProtection="0"/>
    <xf numFmtId="0" fontId="72" fillId="2" borderId="0" applyNumberFormat="0" applyBorder="0" applyAlignment="0" applyProtection="0"/>
    <xf numFmtId="0" fontId="72" fillId="7" borderId="0" applyNumberFormat="0" applyBorder="0" applyAlignment="0" applyProtection="0"/>
    <xf numFmtId="0" fontId="72" fillId="39" borderId="0" applyNumberFormat="0" applyBorder="0" applyAlignment="0" applyProtection="0"/>
    <xf numFmtId="0" fontId="72" fillId="7" borderId="0" applyNumberFormat="0" applyBorder="0" applyAlignment="0" applyProtection="0"/>
    <xf numFmtId="0" fontId="72" fillId="23" borderId="0" applyNumberFormat="0" applyBorder="0" applyAlignment="0" applyProtection="0"/>
    <xf numFmtId="0" fontId="72" fillId="20" borderId="0" applyNumberFormat="0" applyBorder="0" applyAlignment="0" applyProtection="0"/>
    <xf numFmtId="0" fontId="72" fillId="39" borderId="0" applyNumberFormat="0" applyBorder="0" applyAlignment="0" applyProtection="0"/>
    <xf numFmtId="0" fontId="72" fillId="7" borderId="0" applyNumberFormat="0" applyBorder="0" applyAlignment="0" applyProtection="0"/>
    <xf numFmtId="0" fontId="73" fillId="39" borderId="0" applyNumberFormat="0" applyBorder="0" applyAlignment="0" applyProtection="0"/>
    <xf numFmtId="0" fontId="73" fillId="7" borderId="0" applyNumberFormat="0" applyBorder="0" applyAlignment="0" applyProtection="0"/>
    <xf numFmtId="0" fontId="73" fillId="23" borderId="0" applyNumberFormat="0" applyBorder="0" applyAlignment="0" applyProtection="0"/>
    <xf numFmtId="0" fontId="73" fillId="20" borderId="0" applyNumberFormat="0" applyBorder="0" applyAlignment="0" applyProtection="0"/>
    <xf numFmtId="0" fontId="73" fillId="39" borderId="0" applyNumberFormat="0" applyBorder="0" applyAlignment="0" applyProtection="0"/>
    <xf numFmtId="0" fontId="73" fillId="7" borderId="0" applyNumberFormat="0" applyBorder="0" applyAlignment="0" applyProtection="0"/>
    <xf numFmtId="0" fontId="73" fillId="14" borderId="0" applyNumberFormat="0" applyBorder="0" applyAlignment="0" applyProtection="0"/>
    <xf numFmtId="0" fontId="73" fillId="17" borderId="0" applyNumberFormat="0" applyBorder="0" applyAlignment="0" applyProtection="0"/>
    <xf numFmtId="0" fontId="73" fillId="40" borderId="0" applyNumberFormat="0" applyBorder="0" applyAlignment="0" applyProtection="0"/>
    <xf numFmtId="0" fontId="73" fillId="41" borderId="0" applyNumberFormat="0" applyBorder="0" applyAlignment="0" applyProtection="0"/>
    <xf numFmtId="0" fontId="73" fillId="14" borderId="0" applyNumberFormat="0" applyBorder="0" applyAlignment="0" applyProtection="0"/>
    <xf numFmtId="0" fontId="73" fillId="19" borderId="0" applyNumberFormat="0" applyBorder="0" applyAlignment="0" applyProtection="0"/>
    <xf numFmtId="0" fontId="74" fillId="4" borderId="0" applyNumberFormat="0" applyBorder="0" applyAlignment="0" applyProtection="0"/>
    <xf numFmtId="0" fontId="75" fillId="2" borderId="1" applyNumberFormat="0" applyAlignment="0" applyProtection="0"/>
    <xf numFmtId="0" fontId="76" fillId="21" borderId="2" applyNumberFormat="0" applyAlignment="0" applyProtection="0"/>
    <xf numFmtId="0" fontId="77" fillId="0" borderId="7" applyNumberFormat="0" applyFill="0" applyAlignment="0" applyProtection="0"/>
    <xf numFmtId="197" fontId="70" fillId="0" borderId="0" applyFont="0" applyFill="0" applyBorder="0" applyAlignment="0" applyProtection="0"/>
    <xf numFmtId="0" fontId="78" fillId="3" borderId="0" applyNumberFormat="0" applyBorder="0" applyAlignment="0" applyProtection="0"/>
    <xf numFmtId="43" fontId="30" fillId="0" borderId="0" applyFont="0" applyFill="0" applyBorder="0" applyAlignment="0" applyProtection="0"/>
    <xf numFmtId="167" fontId="30" fillId="0" borderId="0" applyFont="0" applyFill="0" applyBorder="0" applyAlignment="0" applyProtection="0"/>
    <xf numFmtId="0" fontId="71" fillId="0" borderId="0"/>
    <xf numFmtId="0" fontId="69" fillId="0" borderId="0"/>
    <xf numFmtId="0" fontId="69" fillId="0" borderId="0"/>
    <xf numFmtId="0" fontId="69" fillId="0" borderId="0"/>
    <xf numFmtId="0" fontId="69" fillId="0" borderId="0"/>
    <xf numFmtId="0" fontId="30" fillId="0" borderId="0"/>
    <xf numFmtId="0" fontId="69" fillId="0" borderId="0"/>
    <xf numFmtId="0" fontId="69" fillId="0" borderId="0"/>
    <xf numFmtId="0" fontId="69" fillId="0" borderId="0"/>
    <xf numFmtId="0" fontId="69" fillId="0" borderId="0"/>
    <xf numFmtId="0" fontId="69" fillId="0" borderId="0"/>
    <xf numFmtId="0" fontId="30" fillId="0" borderId="0"/>
    <xf numFmtId="0" fontId="69" fillId="0" borderId="0"/>
    <xf numFmtId="0" fontId="69" fillId="0" borderId="0"/>
    <xf numFmtId="0" fontId="30" fillId="0" borderId="0"/>
    <xf numFmtId="0" fontId="30" fillId="0" borderId="0"/>
    <xf numFmtId="0" fontId="1" fillId="0" borderId="0"/>
    <xf numFmtId="0" fontId="30" fillId="0" borderId="0"/>
    <xf numFmtId="0" fontId="30" fillId="0" borderId="0"/>
    <xf numFmtId="0" fontId="79" fillId="0" borderId="0"/>
    <xf numFmtId="0" fontId="69" fillId="0" borderId="0"/>
    <xf numFmtId="0" fontId="1" fillId="0" borderId="0"/>
    <xf numFmtId="0" fontId="69"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70" fillId="0" borderId="0"/>
    <xf numFmtId="0" fontId="69" fillId="0" borderId="0"/>
    <xf numFmtId="0" fontId="69" fillId="0" borderId="0"/>
    <xf numFmtId="0" fontId="69" fillId="0" borderId="0"/>
    <xf numFmtId="0" fontId="69" fillId="0" borderId="0"/>
    <xf numFmtId="0" fontId="69" fillId="0" borderId="0"/>
    <xf numFmtId="0" fontId="30" fillId="0" borderId="0"/>
    <xf numFmtId="0" fontId="69" fillId="0" borderId="0"/>
    <xf numFmtId="0" fontId="69" fillId="0" borderId="0"/>
    <xf numFmtId="0" fontId="69" fillId="0" borderId="0"/>
    <xf numFmtId="0" fontId="69" fillId="0" borderId="0"/>
    <xf numFmtId="0" fontId="30" fillId="24" borderId="8" applyNumberFormat="0" applyFont="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30"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80" fillId="2" borderId="10" applyNumberFormat="0" applyAlignment="0" applyProtection="0"/>
    <xf numFmtId="0" fontId="81"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4" fillId="0" borderId="16" applyNumberFormat="0" applyFill="0" applyAlignment="0" applyProtection="0"/>
    <xf numFmtId="0" fontId="85" fillId="0" borderId="17" applyNumberFormat="0" applyFill="0" applyAlignment="0" applyProtection="0"/>
    <xf numFmtId="0" fontId="86" fillId="0" borderId="18" applyNumberFormat="0" applyFill="0" applyAlignment="0" applyProtection="0"/>
    <xf numFmtId="0" fontId="86" fillId="0" borderId="0" applyNumberFormat="0" applyFill="0" applyBorder="0" applyAlignment="0" applyProtection="0"/>
    <xf numFmtId="0" fontId="70" fillId="0" borderId="0"/>
    <xf numFmtId="0" fontId="69" fillId="0" borderId="0"/>
    <xf numFmtId="0" fontId="87" fillId="0" borderId="0" applyNumberFormat="0" applyFill="0" applyBorder="0" applyAlignment="0" applyProtection="0">
      <alignment vertical="top"/>
      <protection locked="0"/>
    </xf>
    <xf numFmtId="0" fontId="88" fillId="42" borderId="0" applyNumberFormat="0" applyBorder="0" applyAlignment="0" applyProtection="0"/>
    <xf numFmtId="0" fontId="88" fillId="7" borderId="0" applyNumberFormat="0" applyBorder="0" applyAlignment="0" applyProtection="0"/>
    <xf numFmtId="0" fontId="88" fillId="24" borderId="0" applyNumberFormat="0" applyBorder="0" applyAlignment="0" applyProtection="0"/>
    <xf numFmtId="0" fontId="88" fillId="42" borderId="0" applyNumberFormat="0" applyBorder="0" applyAlignment="0" applyProtection="0"/>
    <xf numFmtId="0" fontId="88" fillId="6" borderId="0" applyNumberFormat="0" applyBorder="0" applyAlignment="0" applyProtection="0"/>
    <xf numFmtId="0" fontId="88" fillId="7" borderId="0" applyNumberFormat="0" applyBorder="0" applyAlignment="0" applyProtection="0"/>
    <xf numFmtId="0" fontId="88" fillId="20" borderId="0" applyNumberFormat="0" applyBorder="0" applyAlignment="0" applyProtection="0"/>
    <xf numFmtId="0" fontId="88" fillId="9" borderId="0" applyNumberFormat="0" applyBorder="0" applyAlignment="0" applyProtection="0"/>
    <xf numFmtId="0" fontId="88" fillId="23" borderId="0" applyNumberFormat="0" applyBorder="0" applyAlignment="0" applyProtection="0"/>
    <xf numFmtId="0" fontId="88" fillId="20" borderId="0" applyNumberFormat="0" applyBorder="0" applyAlignment="0" applyProtection="0"/>
    <xf numFmtId="0" fontId="88" fillId="43" borderId="0" applyNumberFormat="0" applyBorder="0" applyAlignment="0" applyProtection="0"/>
    <xf numFmtId="0" fontId="88" fillId="7" borderId="0" applyNumberFormat="0" applyBorder="0" applyAlignment="0" applyProtection="0"/>
    <xf numFmtId="0" fontId="89" fillId="43" borderId="0" applyNumberFormat="0" applyBorder="0" applyAlignment="0" applyProtection="0"/>
    <xf numFmtId="0" fontId="89" fillId="44" borderId="0" applyNumberFormat="0" applyBorder="0" applyAlignment="0" applyProtection="0"/>
    <xf numFmtId="0" fontId="89" fillId="23" borderId="0" applyNumberFormat="0" applyBorder="0" applyAlignment="0" applyProtection="0"/>
    <xf numFmtId="0" fontId="89" fillId="20" borderId="0" applyNumberFormat="0" applyBorder="0" applyAlignment="0" applyProtection="0"/>
    <xf numFmtId="0" fontId="89" fillId="43" borderId="0" applyNumberFormat="0" applyBorder="0" applyAlignment="0" applyProtection="0"/>
    <xf numFmtId="0" fontId="89" fillId="7" borderId="0" applyNumberFormat="0" applyBorder="0" applyAlignment="0" applyProtection="0"/>
    <xf numFmtId="0" fontId="90" fillId="4" borderId="0" applyNumberFormat="0" applyBorder="0" applyAlignment="0" applyProtection="0"/>
    <xf numFmtId="0" fontId="91" fillId="42" borderId="1" applyNumberFormat="0" applyAlignment="0" applyProtection="0"/>
    <xf numFmtId="0" fontId="92" fillId="38" borderId="19" applyNumberFormat="0" applyAlignment="0" applyProtection="0"/>
    <xf numFmtId="0" fontId="93" fillId="0" borderId="7" applyNumberFormat="0" applyFill="0" applyAlignment="0" applyProtection="0"/>
    <xf numFmtId="0" fontId="94" fillId="0" borderId="0" applyNumberFormat="0" applyFill="0" applyBorder="0" applyAlignment="0" applyProtection="0"/>
    <xf numFmtId="0" fontId="89" fillId="14" borderId="0" applyNumberFormat="0" applyBorder="0" applyAlignment="0" applyProtection="0"/>
    <xf numFmtId="0" fontId="89" fillId="44" borderId="0" applyNumberFormat="0" applyBorder="0" applyAlignment="0" applyProtection="0"/>
    <xf numFmtId="0" fontId="89" fillId="16" borderId="0" applyNumberFormat="0" applyBorder="0" applyAlignment="0" applyProtection="0"/>
    <xf numFmtId="0" fontId="89" fillId="41" borderId="0" applyNumberFormat="0" applyBorder="0" applyAlignment="0" applyProtection="0"/>
    <xf numFmtId="0" fontId="89" fillId="14" borderId="0" applyNumberFormat="0" applyBorder="0" applyAlignment="0" applyProtection="0"/>
    <xf numFmtId="0" fontId="89" fillId="44" borderId="0" applyNumberFormat="0" applyBorder="0" applyAlignment="0" applyProtection="0"/>
    <xf numFmtId="0" fontId="95" fillId="7" borderId="1" applyNumberFormat="0" applyAlignment="0" applyProtection="0"/>
    <xf numFmtId="0" fontId="96" fillId="3" borderId="0" applyNumberFormat="0" applyBorder="0" applyAlignment="0" applyProtection="0"/>
    <xf numFmtId="0" fontId="97" fillId="23" borderId="0" applyNumberFormat="0" applyBorder="0" applyAlignment="0" applyProtection="0"/>
    <xf numFmtId="0" fontId="30" fillId="24" borderId="8" applyNumberFormat="0" applyFont="0" applyAlignment="0" applyProtection="0"/>
    <xf numFmtId="0" fontId="98" fillId="42" borderId="20" applyNumberFormat="0" applyAlignment="0" applyProtection="0"/>
    <xf numFmtId="0" fontId="99" fillId="0" borderId="0" applyNumberFormat="0" applyFill="0" applyBorder="0" applyAlignment="0" applyProtection="0"/>
    <xf numFmtId="0" fontId="100" fillId="0" borderId="0" applyNumberFormat="0" applyFill="0" applyBorder="0" applyAlignment="0" applyProtection="0"/>
    <xf numFmtId="0" fontId="101" fillId="0" borderId="16" applyNumberFormat="0" applyFill="0" applyAlignment="0" applyProtection="0"/>
    <xf numFmtId="0" fontId="102" fillId="0" borderId="21" applyNumberFormat="0" applyFill="0" applyAlignment="0" applyProtection="0"/>
    <xf numFmtId="0" fontId="94" fillId="0" borderId="22" applyNumberFormat="0" applyFill="0" applyAlignment="0" applyProtection="0"/>
    <xf numFmtId="0" fontId="103" fillId="0" borderId="0" applyNumberFormat="0" applyFill="0" applyBorder="0" applyAlignment="0" applyProtection="0"/>
    <xf numFmtId="0" fontId="104" fillId="0" borderId="23" applyNumberFormat="0" applyFill="0" applyAlignment="0" applyProtection="0"/>
    <xf numFmtId="0" fontId="69" fillId="0" borderId="0"/>
    <xf numFmtId="0" fontId="30" fillId="0" borderId="0"/>
    <xf numFmtId="0" fontId="1" fillId="0" borderId="0"/>
    <xf numFmtId="9" fontId="105" fillId="0" borderId="0" applyFont="0" applyFill="0" applyBorder="0" applyAlignment="0" applyProtection="0"/>
    <xf numFmtId="0" fontId="69" fillId="0" borderId="0"/>
    <xf numFmtId="9" fontId="69" fillId="0" borderId="0" applyFont="0" applyFill="0" applyBorder="0" applyAlignment="0" applyProtection="0"/>
    <xf numFmtId="9" fontId="69" fillId="0" borderId="0" applyFont="0" applyFill="0" applyBorder="0" applyAlignment="0" applyProtection="0"/>
    <xf numFmtId="0" fontId="69" fillId="0" borderId="0"/>
    <xf numFmtId="0" fontId="69" fillId="0" borderId="0"/>
    <xf numFmtId="9" fontId="69" fillId="0" borderId="0" applyFont="0" applyFill="0" applyBorder="0" applyAlignment="0" applyProtection="0"/>
    <xf numFmtId="0" fontId="69" fillId="0" borderId="0"/>
    <xf numFmtId="9" fontId="69" fillId="0" borderId="0" applyFont="0" applyFill="0" applyBorder="0" applyAlignment="0" applyProtection="0"/>
    <xf numFmtId="9" fontId="69" fillId="0" borderId="0" applyFont="0" applyFill="0" applyBorder="0" applyAlignment="0" applyProtection="0"/>
    <xf numFmtId="0" fontId="1" fillId="0" borderId="0"/>
    <xf numFmtId="0" fontId="75" fillId="2" borderId="24" applyNumberFormat="0" applyAlignment="0" applyProtection="0"/>
    <xf numFmtId="0" fontId="30" fillId="24" borderId="25" applyNumberFormat="0" applyFont="0" applyAlignment="0" applyProtection="0"/>
    <xf numFmtId="0" fontId="80" fillId="2" borderId="26" applyNumberFormat="0" applyAlignment="0" applyProtection="0"/>
    <xf numFmtId="0" fontId="91" fillId="42" borderId="24" applyNumberFormat="0" applyAlignment="0" applyProtection="0"/>
    <xf numFmtId="0" fontId="95" fillId="7" borderId="24" applyNumberFormat="0" applyAlignment="0" applyProtection="0"/>
    <xf numFmtId="0" fontId="30" fillId="24" borderId="25" applyNumberFormat="0" applyFont="0" applyAlignment="0" applyProtection="0"/>
    <xf numFmtId="0" fontId="98" fillId="42" borderId="27" applyNumberFormat="0" applyAlignment="0" applyProtection="0"/>
    <xf numFmtId="0" fontId="104" fillId="0" borderId="28" applyNumberFormat="0" applyFill="0" applyAlignment="0" applyProtection="0"/>
    <xf numFmtId="43" fontId="3" fillId="0" borderId="0" applyFont="0" applyFill="0" applyBorder="0" applyAlignment="0" applyProtection="0"/>
  </cellStyleXfs>
  <cellXfs count="959">
    <xf numFmtId="0" fontId="0" fillId="0" borderId="0" xfId="0"/>
    <xf numFmtId="3" fontId="45" fillId="0" borderId="0" xfId="0" applyNumberFormat="1" applyFont="1" applyAlignment="1">
      <alignment horizontal="center" vertical="center"/>
    </xf>
    <xf numFmtId="0" fontId="47" fillId="0" borderId="0" xfId="0" applyFont="1"/>
    <xf numFmtId="0" fontId="45" fillId="0" borderId="0" xfId="0" applyFont="1"/>
    <xf numFmtId="0" fontId="54" fillId="0" borderId="0" xfId="0" applyFont="1"/>
    <xf numFmtId="3" fontId="45" fillId="0" borderId="0" xfId="0" applyNumberFormat="1" applyFont="1"/>
    <xf numFmtId="0" fontId="45" fillId="0" borderId="0" xfId="0" applyFont="1" applyAlignment="1">
      <alignment vertical="center"/>
    </xf>
    <xf numFmtId="0" fontId="45" fillId="0" borderId="0" xfId="0" applyFont="1" applyAlignment="1">
      <alignment horizontal="center" vertical="center"/>
    </xf>
    <xf numFmtId="0" fontId="52" fillId="0" borderId="0" xfId="39" applyFont="1" applyBorder="1" applyAlignment="1" applyProtection="1">
      <alignment horizontal="right" vertical="center"/>
    </xf>
    <xf numFmtId="0" fontId="46" fillId="0" borderId="0" xfId="0" applyFont="1" applyAlignment="1">
      <alignment vertical="center"/>
    </xf>
    <xf numFmtId="0" fontId="47" fillId="0" borderId="0" xfId="0" applyFont="1" applyAlignment="1">
      <alignment vertical="center"/>
    </xf>
    <xf numFmtId="0" fontId="50" fillId="0" borderId="0" xfId="0" applyFont="1" applyAlignment="1">
      <alignment vertical="center"/>
    </xf>
    <xf numFmtId="0" fontId="0" fillId="0" borderId="0" xfId="0" applyAlignment="1">
      <alignment vertical="center"/>
    </xf>
    <xf numFmtId="0" fontId="57" fillId="0" borderId="0" xfId="0" applyFont="1" applyAlignment="1">
      <alignment vertical="center"/>
    </xf>
    <xf numFmtId="0" fontId="64" fillId="0" borderId="0" xfId="0" applyFont="1" applyAlignment="1">
      <alignment horizontal="center" vertical="center" wrapText="1"/>
    </xf>
    <xf numFmtId="9" fontId="47" fillId="0" borderId="0" xfId="132" applyFont="1" applyAlignment="1">
      <alignment horizontal="left" vertical="center"/>
    </xf>
    <xf numFmtId="0" fontId="53" fillId="0" borderId="0" xfId="184" applyFont="1" applyAlignment="1">
      <alignment vertical="center"/>
    </xf>
    <xf numFmtId="0" fontId="56" fillId="0" borderId="0" xfId="184" applyFont="1" applyAlignment="1">
      <alignment vertical="center"/>
    </xf>
    <xf numFmtId="0" fontId="53" fillId="0" borderId="0" xfId="184" applyFont="1" applyAlignment="1">
      <alignment horizontal="center" vertical="center"/>
    </xf>
    <xf numFmtId="0" fontId="47" fillId="0" borderId="0" xfId="184" applyFont="1" applyAlignment="1">
      <alignment horizontal="left" vertical="center"/>
    </xf>
    <xf numFmtId="0" fontId="56" fillId="0" borderId="0" xfId="184" applyFont="1"/>
    <xf numFmtId="0" fontId="55" fillId="0" borderId="0" xfId="184" applyFont="1" applyAlignment="1">
      <alignment horizontal="center" vertical="center"/>
    </xf>
    <xf numFmtId="174" fontId="56" fillId="0" borderId="0" xfId="184" applyNumberFormat="1" applyFont="1"/>
    <xf numFmtId="0" fontId="45" fillId="0" borderId="0" xfId="186" applyFont="1"/>
    <xf numFmtId="0" fontId="47" fillId="0" borderId="0" xfId="186" applyFont="1"/>
    <xf numFmtId="0" fontId="46" fillId="0" borderId="0" xfId="186" applyFont="1"/>
    <xf numFmtId="0" fontId="50" fillId="0" borderId="0" xfId="186" applyFont="1"/>
    <xf numFmtId="0" fontId="65" fillId="0" borderId="0" xfId="186" applyFont="1"/>
    <xf numFmtId="0" fontId="51" fillId="0" borderId="0" xfId="184" applyFont="1" applyAlignment="1">
      <alignment vertical="center"/>
    </xf>
    <xf numFmtId="0" fontId="65" fillId="0" borderId="0" xfId="184" applyFont="1"/>
    <xf numFmtId="0" fontId="66" fillId="0" borderId="0" xfId="186" applyFont="1"/>
    <xf numFmtId="0" fontId="65" fillId="0" borderId="0" xfId="184" applyFont="1" applyAlignment="1">
      <alignment horizontal="left" vertical="center"/>
    </xf>
    <xf numFmtId="0" fontId="63" fillId="0" borderId="0" xfId="0" applyFont="1" applyAlignment="1">
      <alignment horizontal="center" vertical="center" wrapText="1"/>
    </xf>
    <xf numFmtId="0" fontId="45" fillId="34" borderId="0" xfId="0" applyFont="1" applyFill="1" applyAlignment="1">
      <alignment vertical="center"/>
    </xf>
    <xf numFmtId="0" fontId="56" fillId="34" borderId="0" xfId="184" applyFont="1" applyFill="1" applyAlignment="1">
      <alignment vertical="center"/>
    </xf>
    <xf numFmtId="0" fontId="46" fillId="34" borderId="0" xfId="0" applyFont="1" applyFill="1" applyAlignment="1">
      <alignment vertical="center"/>
    </xf>
    <xf numFmtId="0" fontId="61" fillId="0" borderId="0" xfId="0" applyFont="1" applyAlignment="1">
      <alignment horizontal="left" vertical="top" wrapText="1"/>
    </xf>
    <xf numFmtId="0" fontId="55" fillId="0" borderId="0" xfId="0" applyFont="1" applyAlignment="1">
      <alignment horizontal="left" vertical="top" wrapText="1"/>
    </xf>
    <xf numFmtId="9" fontId="46" fillId="0" borderId="0" xfId="132" applyFont="1" applyBorder="1" applyAlignment="1">
      <alignment vertical="center"/>
    </xf>
    <xf numFmtId="3" fontId="46" fillId="0" borderId="0" xfId="0" applyNumberFormat="1" applyFont="1" applyAlignment="1">
      <alignment vertical="center"/>
    </xf>
    <xf numFmtId="1" fontId="46" fillId="0" borderId="0" xfId="0" applyNumberFormat="1" applyFont="1" applyAlignment="1">
      <alignment vertical="center"/>
    </xf>
    <xf numFmtId="10" fontId="47" fillId="0" borderId="0" xfId="132" applyNumberFormat="1" applyFont="1" applyFill="1" applyAlignment="1">
      <alignment horizontal="left" vertical="center"/>
    </xf>
    <xf numFmtId="0" fontId="68" fillId="0" borderId="0" xfId="0" applyFont="1" applyAlignment="1">
      <alignment horizontal="left" vertical="center" wrapText="1"/>
    </xf>
    <xf numFmtId="0" fontId="58" fillId="0" borderId="0" xfId="0" applyFont="1" applyAlignment="1">
      <alignment horizontal="left" vertical="center" wrapText="1"/>
    </xf>
    <xf numFmtId="1" fontId="46" fillId="34" borderId="0" xfId="132" applyNumberFormat="1" applyFont="1" applyFill="1" applyBorder="1" applyAlignment="1">
      <alignment horizontal="center" vertical="center" wrapText="1"/>
    </xf>
    <xf numFmtId="198" fontId="56" fillId="0" borderId="0" xfId="184" applyNumberFormat="1" applyFont="1" applyAlignment="1">
      <alignment horizontal="center"/>
    </xf>
    <xf numFmtId="199" fontId="48" fillId="0" borderId="0" xfId="0" applyNumberFormat="1" applyFont="1" applyAlignment="1">
      <alignment horizontal="center"/>
    </xf>
    <xf numFmtId="1" fontId="46" fillId="34" borderId="0" xfId="0" applyNumberFormat="1" applyFont="1" applyFill="1" applyAlignment="1">
      <alignment vertical="center"/>
    </xf>
    <xf numFmtId="194" fontId="47" fillId="0" borderId="0" xfId="187" applyNumberFormat="1" applyFont="1" applyFill="1"/>
    <xf numFmtId="3" fontId="46" fillId="0" borderId="0" xfId="186" applyNumberFormat="1" applyFont="1"/>
    <xf numFmtId="3" fontId="45" fillId="0" borderId="0" xfId="0" applyNumberFormat="1" applyFont="1" applyAlignment="1">
      <alignment vertical="center"/>
    </xf>
    <xf numFmtId="200" fontId="46" fillId="0" borderId="0" xfId="0" applyNumberFormat="1" applyFont="1" applyAlignment="1">
      <alignment vertical="center"/>
    </xf>
    <xf numFmtId="170" fontId="46" fillId="0" borderId="0" xfId="0" applyNumberFormat="1" applyFont="1" applyAlignment="1">
      <alignment vertical="center"/>
    </xf>
    <xf numFmtId="9" fontId="46" fillId="0" borderId="0" xfId="132" applyFont="1" applyBorder="1"/>
    <xf numFmtId="170" fontId="50" fillId="0" borderId="0" xfId="184" applyNumberFormat="1" applyFont="1" applyAlignment="1">
      <alignment vertical="center"/>
    </xf>
    <xf numFmtId="0" fontId="47" fillId="0" borderId="0" xfId="0" applyFont="1" applyAlignment="1">
      <alignment horizontal="right"/>
    </xf>
    <xf numFmtId="9" fontId="47" fillId="0" borderId="0" xfId="0" applyNumberFormat="1" applyFont="1" applyAlignment="1">
      <alignment horizontal="right"/>
    </xf>
    <xf numFmtId="0" fontId="54" fillId="0" borderId="0" xfId="0" applyFont="1" applyAlignment="1">
      <alignment horizontal="right"/>
    </xf>
    <xf numFmtId="3" fontId="47" fillId="0" borderId="0" xfId="184" applyNumberFormat="1" applyFont="1" applyAlignment="1">
      <alignment horizontal="left" vertical="center"/>
    </xf>
    <xf numFmtId="179" fontId="46" fillId="0" borderId="0" xfId="0" applyNumberFormat="1" applyFont="1" applyAlignment="1">
      <alignment vertical="center"/>
    </xf>
    <xf numFmtId="171" fontId="46" fillId="0" borderId="0" xfId="0" applyNumberFormat="1" applyFont="1" applyAlignment="1">
      <alignment vertical="center"/>
    </xf>
    <xf numFmtId="0" fontId="60" fillId="0" borderId="0" xfId="0" applyFont="1" applyAlignment="1">
      <alignment vertical="center"/>
    </xf>
    <xf numFmtId="0" fontId="62" fillId="0" borderId="0" xfId="184" applyFont="1" applyAlignment="1">
      <alignment horizontal="left" vertical="center"/>
    </xf>
    <xf numFmtId="1" fontId="107" fillId="0" borderId="0" xfId="0" applyNumberFormat="1" applyFont="1" applyAlignment="1">
      <alignment vertical="center"/>
    </xf>
    <xf numFmtId="4" fontId="46" fillId="0" borderId="0" xfId="186" applyNumberFormat="1" applyFont="1"/>
    <xf numFmtId="1" fontId="55" fillId="0" borderId="0" xfId="0" applyNumberFormat="1" applyFont="1" applyAlignment="1">
      <alignment horizontal="left" vertical="top" wrapText="1"/>
    </xf>
    <xf numFmtId="3" fontId="47" fillId="0" borderId="0" xfId="0" applyNumberFormat="1" applyFont="1"/>
    <xf numFmtId="1" fontId="45" fillId="0" borderId="0" xfId="186" applyNumberFormat="1" applyFont="1"/>
    <xf numFmtId="1" fontId="46" fillId="0" borderId="0" xfId="186" applyNumberFormat="1" applyFont="1"/>
    <xf numFmtId="195" fontId="56" fillId="0" borderId="0" xfId="184" applyNumberFormat="1" applyFont="1"/>
    <xf numFmtId="196" fontId="56" fillId="0" borderId="0" xfId="184" applyNumberFormat="1" applyFont="1"/>
    <xf numFmtId="199" fontId="46" fillId="0" borderId="0" xfId="0" applyNumberFormat="1" applyFont="1" applyAlignment="1">
      <alignment vertical="center"/>
    </xf>
    <xf numFmtId="194" fontId="46" fillId="0" borderId="0" xfId="187" applyNumberFormat="1" applyFont="1" applyBorder="1" applyAlignment="1">
      <alignment vertical="center"/>
    </xf>
    <xf numFmtId="194" fontId="46" fillId="0" borderId="0" xfId="0" applyNumberFormat="1" applyFont="1" applyAlignment="1">
      <alignment vertical="center"/>
    </xf>
    <xf numFmtId="3" fontId="56" fillId="0" borderId="0" xfId="184" applyNumberFormat="1" applyFont="1" applyAlignment="1">
      <alignment vertical="center"/>
    </xf>
    <xf numFmtId="9" fontId="107" fillId="0" borderId="0" xfId="132" applyFont="1" applyAlignment="1" applyProtection="1">
      <alignment vertical="center"/>
    </xf>
    <xf numFmtId="9" fontId="56" fillId="0" borderId="0" xfId="132" applyFont="1" applyFill="1" applyAlignment="1" applyProtection="1">
      <alignment vertical="center"/>
    </xf>
    <xf numFmtId="194" fontId="46" fillId="0" borderId="0" xfId="187" applyNumberFormat="1" applyFont="1" applyBorder="1"/>
    <xf numFmtId="43" fontId="46" fillId="0" borderId="0" xfId="186" applyNumberFormat="1" applyFont="1"/>
    <xf numFmtId="170" fontId="46" fillId="0" borderId="0" xfId="186" applyNumberFormat="1" applyFont="1"/>
    <xf numFmtId="9" fontId="107" fillId="0" borderId="0" xfId="132" applyFont="1" applyProtection="1"/>
    <xf numFmtId="194" fontId="45" fillId="0" borderId="0" xfId="187" applyNumberFormat="1" applyFont="1" applyFill="1" applyBorder="1" applyAlignment="1"/>
    <xf numFmtId="201" fontId="45" fillId="0" borderId="0" xfId="187" applyNumberFormat="1" applyFont="1" applyFill="1" applyBorder="1" applyAlignment="1"/>
    <xf numFmtId="43" fontId="45" fillId="0" borderId="0" xfId="0" applyNumberFormat="1" applyFont="1"/>
    <xf numFmtId="171" fontId="46" fillId="34" borderId="0" xfId="0" applyNumberFormat="1" applyFont="1" applyFill="1" applyAlignment="1">
      <alignment vertical="center"/>
    </xf>
    <xf numFmtId="3" fontId="62" fillId="0" borderId="0" xfId="184" applyNumberFormat="1" applyFont="1" applyAlignment="1">
      <alignment horizontal="left" vertical="center"/>
    </xf>
    <xf numFmtId="3" fontId="54" fillId="0" borderId="0" xfId="0" applyNumberFormat="1" applyFont="1"/>
    <xf numFmtId="0" fontId="61" fillId="0" borderId="0" xfId="0" applyFont="1" applyAlignment="1">
      <alignment horizontal="left" vertical="top"/>
    </xf>
    <xf numFmtId="0" fontId="108" fillId="0" borderId="0" xfId="186" applyFont="1"/>
    <xf numFmtId="0" fontId="109" fillId="0" borderId="0" xfId="186" applyFont="1"/>
    <xf numFmtId="0" fontId="109" fillId="0" borderId="0" xfId="184" applyFont="1"/>
    <xf numFmtId="0" fontId="110" fillId="0" borderId="0" xfId="186" applyFont="1"/>
    <xf numFmtId="3" fontId="110" fillId="0" borderId="0" xfId="186" applyNumberFormat="1" applyFont="1"/>
    <xf numFmtId="0" fontId="109" fillId="0" borderId="0" xfId="184" applyFont="1" applyAlignment="1">
      <alignment horizontal="left" vertical="center"/>
    </xf>
    <xf numFmtId="9" fontId="109" fillId="0" borderId="0" xfId="132" applyFont="1" applyProtection="1"/>
    <xf numFmtId="9" fontId="111" fillId="0" borderId="0" xfId="132" applyFont="1" applyProtection="1"/>
    <xf numFmtId="3" fontId="63" fillId="0" borderId="0" xfId="0" applyNumberFormat="1" applyFont="1" applyAlignment="1">
      <alignment horizontal="center" vertical="center" wrapText="1"/>
    </xf>
    <xf numFmtId="0" fontId="55" fillId="34" borderId="0" xfId="0" applyFont="1" applyFill="1" applyAlignment="1">
      <alignment horizontal="left" vertical="center" wrapText="1"/>
    </xf>
    <xf numFmtId="1" fontId="47" fillId="0" borderId="0" xfId="0" applyNumberFormat="1" applyFont="1"/>
    <xf numFmtId="170" fontId="112" fillId="34" borderId="0" xfId="0" applyNumberFormat="1" applyFont="1" applyFill="1"/>
    <xf numFmtId="9" fontId="46" fillId="0" borderId="0" xfId="132" applyFont="1" applyAlignment="1">
      <alignment vertical="center"/>
    </xf>
    <xf numFmtId="9" fontId="56" fillId="0" borderId="0" xfId="132" applyFont="1" applyAlignment="1">
      <alignment vertical="center"/>
    </xf>
    <xf numFmtId="196" fontId="56" fillId="0" borderId="0" xfId="184" applyNumberFormat="1" applyFont="1" applyAlignment="1">
      <alignment horizontal="center"/>
    </xf>
    <xf numFmtId="174" fontId="56" fillId="0" borderId="0" xfId="184" applyNumberFormat="1" applyFont="1" applyAlignment="1">
      <alignment horizontal="center"/>
    </xf>
    <xf numFmtId="0" fontId="115" fillId="0" borderId="0" xfId="68" applyFont="1"/>
    <xf numFmtId="0" fontId="116" fillId="0" borderId="0" xfId="68" applyFont="1"/>
    <xf numFmtId="0" fontId="117" fillId="0" borderId="0" xfId="68" applyFont="1"/>
    <xf numFmtId="0" fontId="118" fillId="0" borderId="0" xfId="39" applyFont="1" applyAlignment="1" applyProtection="1"/>
    <xf numFmtId="0" fontId="118" fillId="0" borderId="0" xfId="34" applyFont="1" applyAlignment="1" applyProtection="1"/>
    <xf numFmtId="0" fontId="118" fillId="0" borderId="0" xfId="34" applyFont="1" applyAlignment="1" applyProtection="1">
      <alignment horizontal="right"/>
    </xf>
    <xf numFmtId="0" fontId="118" fillId="0" borderId="0" xfId="39" applyFont="1" applyAlignment="1" applyProtection="1">
      <alignment horizontal="right"/>
    </xf>
    <xf numFmtId="0" fontId="119" fillId="0" borderId="0" xfId="68" applyFont="1" applyAlignment="1">
      <alignment horizontal="left" indent="2"/>
    </xf>
    <xf numFmtId="0" fontId="120" fillId="0" borderId="0" xfId="34" applyFont="1" applyAlignment="1" applyProtection="1">
      <alignment horizontal="right"/>
    </xf>
    <xf numFmtId="0" fontId="119" fillId="0" borderId="0" xfId="184" applyFont="1" applyAlignment="1">
      <alignment horizontal="left" indent="2"/>
    </xf>
    <xf numFmtId="0" fontId="120" fillId="0" borderId="0" xfId="34" applyFont="1" applyAlignment="1" applyProtection="1"/>
    <xf numFmtId="0" fontId="121" fillId="0" borderId="0" xfId="68" applyFont="1"/>
    <xf numFmtId="0" fontId="120" fillId="0" borderId="0" xfId="39" applyFont="1" applyAlignment="1" applyProtection="1"/>
    <xf numFmtId="0" fontId="122" fillId="0" borderId="0" xfId="0" applyFont="1" applyAlignment="1">
      <alignment vertical="center"/>
    </xf>
    <xf numFmtId="0" fontId="121" fillId="0" borderId="0" xfId="0" applyFont="1" applyAlignment="1">
      <alignment vertical="center"/>
    </xf>
    <xf numFmtId="0" fontId="118" fillId="0" borderId="0" xfId="39" applyFont="1" applyBorder="1" applyAlignment="1" applyProtection="1">
      <alignment horizontal="right" vertical="center"/>
    </xf>
    <xf numFmtId="0" fontId="120" fillId="0" borderId="0" xfId="39" applyFont="1" applyBorder="1" applyAlignment="1" applyProtection="1">
      <alignment horizontal="right" vertical="center"/>
    </xf>
    <xf numFmtId="0" fontId="115" fillId="0" borderId="0" xfId="0" applyFont="1" applyAlignment="1">
      <alignment vertical="center"/>
    </xf>
    <xf numFmtId="0" fontId="123" fillId="0" borderId="0" xfId="184" applyFont="1" applyAlignment="1">
      <alignment vertical="center"/>
    </xf>
    <xf numFmtId="0" fontId="124" fillId="0" borderId="0" xfId="184" applyFont="1" applyAlignment="1">
      <alignment vertical="center"/>
    </xf>
    <xf numFmtId="0" fontId="123" fillId="0" borderId="0" xfId="184" applyFont="1" applyAlignment="1">
      <alignment horizontal="center" vertical="center"/>
    </xf>
    <xf numFmtId="0" fontId="125" fillId="0" borderId="0" xfId="0" applyFont="1" applyAlignment="1">
      <alignment horizontal="center" vertical="center" wrapText="1"/>
    </xf>
    <xf numFmtId="0" fontId="127" fillId="0" borderId="0" xfId="0" applyFont="1" applyAlignment="1">
      <alignment vertical="center"/>
    </xf>
    <xf numFmtId="3" fontId="127" fillId="0" borderId="0" xfId="0" applyNumberFormat="1" applyFont="1" applyAlignment="1">
      <alignment vertical="center"/>
    </xf>
    <xf numFmtId="171" fontId="127" fillId="0" borderId="0" xfId="0" applyNumberFormat="1" applyFont="1" applyAlignment="1">
      <alignment vertical="center"/>
    </xf>
    <xf numFmtId="0" fontId="129" fillId="0" borderId="0" xfId="184" applyFont="1" applyAlignment="1">
      <alignment vertical="center"/>
    </xf>
    <xf numFmtId="0" fontId="121" fillId="0" borderId="0" xfId="184" applyFont="1" applyAlignment="1">
      <alignment horizontal="left" vertical="center"/>
    </xf>
    <xf numFmtId="3" fontId="121" fillId="0" borderId="0" xfId="184" applyNumberFormat="1" applyFont="1" applyAlignment="1">
      <alignment horizontal="left" vertical="center"/>
    </xf>
    <xf numFmtId="0" fontId="121" fillId="45" borderId="0" xfId="184" applyFont="1" applyFill="1" applyAlignment="1">
      <alignment horizontal="left" vertical="center"/>
    </xf>
    <xf numFmtId="1" fontId="121" fillId="0" borderId="0" xfId="184" applyNumberFormat="1" applyFont="1" applyAlignment="1">
      <alignment horizontal="left" vertical="center"/>
    </xf>
    <xf numFmtId="10" fontId="121" fillId="0" borderId="0" xfId="184" applyNumberFormat="1" applyFont="1" applyAlignment="1">
      <alignment horizontal="left" vertical="center"/>
    </xf>
    <xf numFmtId="169" fontId="127" fillId="0" borderId="0" xfId="132" applyNumberFormat="1" applyFont="1" applyFill="1" applyBorder="1" applyAlignment="1">
      <alignment horizontal="center" vertical="center"/>
    </xf>
    <xf numFmtId="0" fontId="121" fillId="34" borderId="0" xfId="0" applyFont="1" applyFill="1" applyAlignment="1">
      <alignment vertical="center"/>
    </xf>
    <xf numFmtId="0" fontId="129" fillId="34" borderId="0" xfId="0" applyFont="1" applyFill="1" applyAlignment="1">
      <alignment horizontal="left" vertical="center" wrapText="1"/>
    </xf>
    <xf numFmtId="0" fontId="123" fillId="0" borderId="0" xfId="68" applyFont="1" applyAlignment="1">
      <alignment vertical="center" textRotation="90"/>
    </xf>
    <xf numFmtId="0" fontId="121" fillId="46" borderId="0" xfId="68" applyFont="1" applyFill="1"/>
    <xf numFmtId="0" fontId="117" fillId="46" borderId="0" xfId="68" applyFont="1" applyFill="1"/>
    <xf numFmtId="0" fontId="130" fillId="0" borderId="0" xfId="68" applyFont="1" applyAlignment="1">
      <alignment vertical="center" textRotation="90"/>
    </xf>
    <xf numFmtId="0" fontId="126" fillId="0" borderId="0" xfId="68" applyFont="1" applyAlignment="1">
      <alignment vertical="center" textRotation="90"/>
    </xf>
    <xf numFmtId="0" fontId="123" fillId="46" borderId="0" xfId="68" applyFont="1" applyFill="1" applyAlignment="1">
      <alignment vertical="center" textRotation="90"/>
    </xf>
    <xf numFmtId="0" fontId="133" fillId="0" borderId="0" xfId="68" applyFont="1" applyAlignment="1">
      <alignment vertical="center"/>
    </xf>
    <xf numFmtId="0" fontId="135" fillId="0" borderId="0" xfId="0" applyFont="1" applyAlignment="1">
      <alignment vertical="center"/>
    </xf>
    <xf numFmtId="0" fontId="134" fillId="47" borderId="38" xfId="0" applyFont="1" applyFill="1" applyBorder="1" applyAlignment="1">
      <alignment horizontal="left" vertical="center"/>
    </xf>
    <xf numFmtId="0" fontId="126" fillId="47" borderId="39" xfId="0" applyFont="1" applyFill="1" applyBorder="1" applyAlignment="1">
      <alignment horizontal="center" vertical="center" wrapText="1"/>
    </xf>
    <xf numFmtId="0" fontId="116" fillId="0" borderId="40" xfId="0" applyFont="1" applyBorder="1" applyAlignment="1">
      <alignment horizontal="left" vertical="center" wrapText="1"/>
    </xf>
    <xf numFmtId="3" fontId="116" fillId="34" borderId="0" xfId="67" applyNumberFormat="1" applyFont="1" applyFill="1" applyAlignment="1">
      <alignment horizontal="center" vertical="center"/>
    </xf>
    <xf numFmtId="3" fontId="116" fillId="0" borderId="0" xfId="67" applyNumberFormat="1" applyFont="1" applyAlignment="1">
      <alignment horizontal="center" vertical="center"/>
    </xf>
    <xf numFmtId="0" fontId="126" fillId="0" borderId="40" xfId="0" applyFont="1" applyBorder="1" applyAlignment="1">
      <alignment horizontal="left" vertical="center" wrapText="1"/>
    </xf>
    <xf numFmtId="3" fontId="126" fillId="0" borderId="0" xfId="67" applyNumberFormat="1" applyFont="1" applyAlignment="1">
      <alignment horizontal="center" vertical="center"/>
    </xf>
    <xf numFmtId="3" fontId="126" fillId="34" borderId="0" xfId="67" applyNumberFormat="1" applyFont="1" applyFill="1" applyAlignment="1">
      <alignment horizontal="center" vertical="center"/>
    </xf>
    <xf numFmtId="0" fontId="126" fillId="0" borderId="41" xfId="0" applyFont="1" applyBorder="1" applyAlignment="1">
      <alignment horizontal="left" vertical="center" wrapText="1"/>
    </xf>
    <xf numFmtId="3" fontId="126" fillId="0" borderId="37" xfId="67" applyNumberFormat="1" applyFont="1" applyBorder="1" applyAlignment="1">
      <alignment horizontal="center" vertical="center"/>
    </xf>
    <xf numFmtId="3" fontId="126" fillId="34" borderId="37" xfId="67" applyNumberFormat="1" applyFont="1" applyFill="1" applyBorder="1" applyAlignment="1">
      <alignment horizontal="center" vertical="center"/>
    </xf>
    <xf numFmtId="169" fontId="126" fillId="0" borderId="0" xfId="132" applyNumberFormat="1" applyFont="1" applyFill="1" applyBorder="1" applyAlignment="1">
      <alignment horizontal="center" vertical="center"/>
    </xf>
    <xf numFmtId="169" fontId="126" fillId="34" borderId="0" xfId="132" applyNumberFormat="1" applyFont="1" applyFill="1" applyBorder="1" applyAlignment="1">
      <alignment horizontal="center" vertical="center"/>
    </xf>
    <xf numFmtId="10" fontId="126" fillId="0" borderId="0" xfId="187" applyNumberFormat="1" applyFont="1" applyFill="1" applyBorder="1" applyAlignment="1">
      <alignment horizontal="center" vertical="center"/>
    </xf>
    <xf numFmtId="10" fontId="126" fillId="34" borderId="0" xfId="187" applyNumberFormat="1" applyFont="1" applyFill="1" applyBorder="1" applyAlignment="1">
      <alignment horizontal="center" vertical="center"/>
    </xf>
    <xf numFmtId="9" fontId="126" fillId="0" borderId="0" xfId="132" applyFont="1" applyFill="1" applyBorder="1" applyAlignment="1">
      <alignment horizontal="center" vertical="center"/>
    </xf>
    <xf numFmtId="9" fontId="126" fillId="34" borderId="0" xfId="187" applyNumberFormat="1" applyFont="1" applyFill="1" applyBorder="1" applyAlignment="1">
      <alignment horizontal="center" vertical="center"/>
    </xf>
    <xf numFmtId="9" fontId="126" fillId="0" borderId="0" xfId="187" applyNumberFormat="1" applyFont="1" applyFill="1" applyBorder="1" applyAlignment="1">
      <alignment horizontal="center" vertical="center"/>
    </xf>
    <xf numFmtId="169" fontId="126" fillId="34" borderId="0" xfId="187" applyNumberFormat="1" applyFont="1" applyFill="1" applyBorder="1" applyAlignment="1">
      <alignment horizontal="center" vertical="center"/>
    </xf>
    <xf numFmtId="169" fontId="126" fillId="0" borderId="0" xfId="187" applyNumberFormat="1" applyFont="1" applyFill="1" applyBorder="1" applyAlignment="1">
      <alignment horizontal="center" vertical="center"/>
    </xf>
    <xf numFmtId="10" fontId="126" fillId="0" borderId="0" xfId="132" applyNumberFormat="1" applyFont="1" applyFill="1" applyBorder="1" applyAlignment="1">
      <alignment horizontal="center" vertical="center"/>
    </xf>
    <xf numFmtId="9" fontId="126" fillId="34" borderId="0" xfId="132" applyFont="1" applyFill="1" applyBorder="1" applyAlignment="1">
      <alignment horizontal="center" vertical="center"/>
    </xf>
    <xf numFmtId="10" fontId="126" fillId="34" borderId="0" xfId="132" applyNumberFormat="1" applyFont="1" applyFill="1" applyBorder="1" applyAlignment="1">
      <alignment horizontal="center" vertical="center"/>
    </xf>
    <xf numFmtId="0" fontId="115" fillId="34" borderId="0" xfId="0" applyFont="1" applyFill="1" applyAlignment="1">
      <alignment vertical="center"/>
    </xf>
    <xf numFmtId="0" fontId="115" fillId="34" borderId="0" xfId="0" applyFont="1" applyFill="1" applyAlignment="1">
      <alignment horizontal="left" vertical="center" wrapText="1"/>
    </xf>
    <xf numFmtId="2" fontId="126" fillId="0" borderId="0" xfId="0" applyNumberFormat="1" applyFont="1" applyAlignment="1">
      <alignment horizontal="center" vertical="center"/>
    </xf>
    <xf numFmtId="2" fontId="126" fillId="34" borderId="0" xfId="0" applyNumberFormat="1" applyFont="1" applyFill="1" applyAlignment="1">
      <alignment horizontal="center" vertical="center"/>
    </xf>
    <xf numFmtId="0" fontId="126" fillId="34" borderId="42" xfId="0" applyFont="1" applyFill="1" applyBorder="1" applyAlignment="1">
      <alignment horizontal="left" vertical="center" wrapText="1"/>
    </xf>
    <xf numFmtId="169" fontId="126" fillId="34" borderId="43" xfId="132" applyNumberFormat="1" applyFont="1" applyFill="1" applyBorder="1" applyAlignment="1">
      <alignment horizontal="center" vertical="center"/>
    </xf>
    <xf numFmtId="169" fontId="126" fillId="0" borderId="43" xfId="132" applyNumberFormat="1" applyFont="1" applyFill="1" applyBorder="1" applyAlignment="1">
      <alignment horizontal="center" vertical="center"/>
    </xf>
    <xf numFmtId="0" fontId="126" fillId="0" borderId="42" xfId="0" applyFont="1" applyBorder="1" applyAlignment="1">
      <alignment horizontal="left" vertical="center" wrapText="1"/>
    </xf>
    <xf numFmtId="3" fontId="126" fillId="0" borderId="43" xfId="67" applyNumberFormat="1" applyFont="1" applyBorder="1" applyAlignment="1">
      <alignment horizontal="center" vertical="center"/>
    </xf>
    <xf numFmtId="3" fontId="126" fillId="34" borderId="43" xfId="67" applyNumberFormat="1" applyFont="1" applyFill="1" applyBorder="1" applyAlignment="1">
      <alignment horizontal="center" vertical="center"/>
    </xf>
    <xf numFmtId="0" fontId="126" fillId="0" borderId="38" xfId="0" applyFont="1" applyBorder="1" applyAlignment="1">
      <alignment horizontal="left" vertical="center" wrapText="1"/>
    </xf>
    <xf numFmtId="3" fontId="126" fillId="0" borderId="39" xfId="67" applyNumberFormat="1" applyFont="1" applyBorder="1" applyAlignment="1">
      <alignment horizontal="center" vertical="center"/>
    </xf>
    <xf numFmtId="3" fontId="126" fillId="34" borderId="39" xfId="67" applyNumberFormat="1" applyFont="1" applyFill="1" applyBorder="1" applyAlignment="1">
      <alignment horizontal="center" vertical="center"/>
    </xf>
    <xf numFmtId="3" fontId="126" fillId="0" borderId="43" xfId="0" applyNumberFormat="1" applyFont="1" applyBorder="1" applyAlignment="1">
      <alignment horizontal="center" vertical="center"/>
    </xf>
    <xf numFmtId="3" fontId="126" fillId="34" borderId="43" xfId="0" applyNumberFormat="1" applyFont="1" applyFill="1" applyBorder="1" applyAlignment="1">
      <alignment horizontal="center" vertical="center"/>
    </xf>
    <xf numFmtId="173" fontId="126" fillId="47" borderId="39" xfId="0" applyNumberFormat="1" applyFont="1" applyFill="1" applyBorder="1" applyAlignment="1">
      <alignment horizontal="center" vertical="center" wrapText="1"/>
    </xf>
    <xf numFmtId="0" fontId="126" fillId="47" borderId="45" xfId="0" applyFont="1" applyFill="1" applyBorder="1" applyAlignment="1">
      <alignment horizontal="center" vertical="center" wrapText="1"/>
    </xf>
    <xf numFmtId="0" fontId="126" fillId="47" borderId="48" xfId="0" applyFont="1" applyFill="1" applyBorder="1" applyAlignment="1">
      <alignment horizontal="center" vertical="center" wrapText="1"/>
    </xf>
    <xf numFmtId="173" fontId="126" fillId="47" borderId="45" xfId="0" applyNumberFormat="1" applyFont="1" applyFill="1" applyBorder="1" applyAlignment="1">
      <alignment horizontal="center" vertical="center" wrapText="1"/>
    </xf>
    <xf numFmtId="173" fontId="126" fillId="47" borderId="48" xfId="0" applyNumberFormat="1" applyFont="1" applyFill="1" applyBorder="1" applyAlignment="1">
      <alignment horizontal="center" vertical="center" wrapText="1"/>
    </xf>
    <xf numFmtId="0" fontId="116" fillId="0" borderId="38" xfId="0" applyFont="1" applyBorder="1" applyAlignment="1">
      <alignment horizontal="left" vertical="center" wrapText="1"/>
    </xf>
    <xf numFmtId="3" fontId="116" fillId="34" borderId="39" xfId="67" applyNumberFormat="1" applyFont="1" applyFill="1" applyBorder="1" applyAlignment="1">
      <alignment horizontal="center" vertical="center"/>
    </xf>
    <xf numFmtId="3" fontId="116" fillId="0" borderId="39" xfId="67" applyNumberFormat="1" applyFont="1" applyBorder="1" applyAlignment="1">
      <alignment horizontal="center" vertical="center"/>
    </xf>
    <xf numFmtId="0" fontId="116" fillId="0" borderId="42" xfId="0" applyFont="1" applyBorder="1" applyAlignment="1">
      <alignment horizontal="left" vertical="center" wrapText="1"/>
    </xf>
    <xf numFmtId="3" fontId="116" fillId="34" borderId="43" xfId="67" applyNumberFormat="1" applyFont="1" applyFill="1" applyBorder="1" applyAlignment="1">
      <alignment horizontal="center" vertical="center"/>
    </xf>
    <xf numFmtId="3" fontId="116" fillId="0" borderId="43" xfId="67" applyNumberFormat="1" applyFont="1" applyBorder="1" applyAlignment="1">
      <alignment horizontal="center" vertical="center"/>
    </xf>
    <xf numFmtId="0" fontId="126" fillId="0" borderId="52" xfId="0" applyFont="1" applyBorder="1" applyAlignment="1">
      <alignment horizontal="left" vertical="center" wrapText="1"/>
    </xf>
    <xf numFmtId="3" fontId="126" fillId="0" borderId="53" xfId="0" applyNumberFormat="1" applyFont="1" applyBorder="1" applyAlignment="1">
      <alignment horizontal="center" vertical="center"/>
    </xf>
    <xf numFmtId="3" fontId="126" fillId="34" borderId="53" xfId="0" applyNumberFormat="1" applyFont="1" applyFill="1" applyBorder="1" applyAlignment="1">
      <alignment horizontal="center" vertical="center"/>
    </xf>
    <xf numFmtId="0" fontId="116" fillId="0" borderId="52" xfId="0" applyFont="1" applyBorder="1" applyAlignment="1">
      <alignment horizontal="left" vertical="center" wrapText="1"/>
    </xf>
    <xf numFmtId="3" fontId="116" fillId="34" borderId="53" xfId="0" applyNumberFormat="1" applyFont="1" applyFill="1" applyBorder="1" applyAlignment="1">
      <alignment horizontal="center" vertical="center"/>
    </xf>
    <xf numFmtId="3" fontId="116" fillId="0" borderId="53" xfId="0" applyNumberFormat="1" applyFont="1" applyBorder="1" applyAlignment="1">
      <alignment horizontal="center" vertical="center"/>
    </xf>
    <xf numFmtId="0" fontId="116" fillId="34" borderId="52" xfId="0" applyFont="1" applyFill="1" applyBorder="1" applyAlignment="1">
      <alignment horizontal="left" vertical="center" wrapText="1"/>
    </xf>
    <xf numFmtId="0" fontId="126" fillId="34" borderId="52" xfId="0" applyFont="1" applyFill="1" applyBorder="1" applyAlignment="1">
      <alignment horizontal="left" vertical="center" wrapText="1"/>
    </xf>
    <xf numFmtId="0" fontId="126" fillId="0" borderId="56" xfId="0" applyFont="1" applyBorder="1" applyAlignment="1">
      <alignment horizontal="left" vertical="center" wrapText="1"/>
    </xf>
    <xf numFmtId="10" fontId="126" fillId="0" borderId="57" xfId="132" applyNumberFormat="1" applyFont="1" applyFill="1" applyBorder="1" applyAlignment="1">
      <alignment horizontal="center" vertical="center"/>
    </xf>
    <xf numFmtId="10" fontId="126" fillId="34" borderId="57" xfId="132" applyNumberFormat="1" applyFont="1" applyFill="1" applyBorder="1" applyAlignment="1">
      <alignment horizontal="center" vertical="center"/>
    </xf>
    <xf numFmtId="1" fontId="49" fillId="34" borderId="0" xfId="0" applyNumberFormat="1" applyFont="1" applyFill="1" applyAlignment="1">
      <alignment horizontal="center" vertical="center" wrapText="1"/>
    </xf>
    <xf numFmtId="3" fontId="116" fillId="48" borderId="46" xfId="67" applyNumberFormat="1" applyFont="1" applyFill="1" applyBorder="1" applyAlignment="1">
      <alignment horizontal="center" vertical="center"/>
    </xf>
    <xf numFmtId="3" fontId="126" fillId="48" borderId="47" xfId="67" applyNumberFormat="1" applyFont="1" applyFill="1" applyBorder="1" applyAlignment="1">
      <alignment horizontal="center" vertical="center"/>
    </xf>
    <xf numFmtId="3" fontId="126" fillId="48" borderId="46" xfId="67" applyNumberFormat="1" applyFont="1" applyFill="1" applyBorder="1" applyAlignment="1">
      <alignment horizontal="center" vertical="center"/>
    </xf>
    <xf numFmtId="3" fontId="116" fillId="48" borderId="45" xfId="67" applyNumberFormat="1" applyFont="1" applyFill="1" applyBorder="1" applyAlignment="1">
      <alignment horizontal="center" vertical="center"/>
    </xf>
    <xf numFmtId="3" fontId="116" fillId="48" borderId="50" xfId="67" applyNumberFormat="1" applyFont="1" applyFill="1" applyBorder="1" applyAlignment="1">
      <alignment horizontal="center" vertical="center"/>
    </xf>
    <xf numFmtId="3" fontId="126" fillId="48" borderId="45" xfId="67" applyNumberFormat="1" applyFont="1" applyFill="1" applyBorder="1" applyAlignment="1">
      <alignment horizontal="center" vertical="center"/>
    </xf>
    <xf numFmtId="3" fontId="126" fillId="48" borderId="55" xfId="0" applyNumberFormat="1" applyFont="1" applyFill="1" applyBorder="1" applyAlignment="1">
      <alignment horizontal="center" vertical="center"/>
    </xf>
    <xf numFmtId="3" fontId="116" fillId="48" borderId="55" xfId="0" applyNumberFormat="1" applyFont="1" applyFill="1" applyBorder="1" applyAlignment="1">
      <alignment horizontal="center" vertical="center"/>
    </xf>
    <xf numFmtId="3" fontId="126" fillId="48" borderId="50" xfId="0" applyNumberFormat="1" applyFont="1" applyFill="1" applyBorder="1" applyAlignment="1">
      <alignment horizontal="center" vertical="center"/>
    </xf>
    <xf numFmtId="3" fontId="126" fillId="48" borderId="50" xfId="67" applyNumberFormat="1" applyFont="1" applyFill="1" applyBorder="1" applyAlignment="1">
      <alignment horizontal="center" vertical="center"/>
    </xf>
    <xf numFmtId="2" fontId="126" fillId="48" borderId="0" xfId="0" applyNumberFormat="1" applyFont="1" applyFill="1" applyAlignment="1">
      <alignment horizontal="center" vertical="center"/>
    </xf>
    <xf numFmtId="2" fontId="126" fillId="48" borderId="46" xfId="0" applyNumberFormat="1" applyFont="1" applyFill="1" applyBorder="1" applyAlignment="1">
      <alignment horizontal="center" vertical="center"/>
    </xf>
    <xf numFmtId="169" fontId="126" fillId="48" borderId="46" xfId="132" applyNumberFormat="1" applyFont="1" applyFill="1" applyBorder="1" applyAlignment="1">
      <alignment horizontal="center" vertical="center"/>
    </xf>
    <xf numFmtId="10" fontId="126" fillId="48" borderId="46" xfId="187" applyNumberFormat="1" applyFont="1" applyFill="1" applyBorder="1" applyAlignment="1">
      <alignment horizontal="center" vertical="center"/>
    </xf>
    <xf numFmtId="9" fontId="126" fillId="48" borderId="46" xfId="187" applyNumberFormat="1" applyFont="1" applyFill="1" applyBorder="1" applyAlignment="1">
      <alignment horizontal="center" vertical="center"/>
    </xf>
    <xf numFmtId="9" fontId="126" fillId="48" borderId="46" xfId="132" applyFont="1" applyFill="1" applyBorder="1" applyAlignment="1">
      <alignment horizontal="center" vertical="center"/>
    </xf>
    <xf numFmtId="10" fontId="126" fillId="48" borderId="59" xfId="132" applyNumberFormat="1" applyFont="1" applyFill="1" applyBorder="1" applyAlignment="1">
      <alignment horizontal="center" vertical="center"/>
    </xf>
    <xf numFmtId="10" fontId="126" fillId="48" borderId="46" xfId="132" applyNumberFormat="1" applyFont="1" applyFill="1" applyBorder="1" applyAlignment="1">
      <alignment horizontal="center" vertical="center"/>
    </xf>
    <xf numFmtId="169" fontId="126" fillId="48" borderId="50" xfId="132" applyNumberFormat="1" applyFont="1" applyFill="1" applyBorder="1" applyAlignment="1">
      <alignment horizontal="center" vertical="center"/>
    </xf>
    <xf numFmtId="3" fontId="116" fillId="34" borderId="31" xfId="67" applyNumberFormat="1" applyFont="1" applyFill="1" applyBorder="1" applyAlignment="1">
      <alignment horizontal="center" vertical="center"/>
    </xf>
    <xf numFmtId="3" fontId="116" fillId="34" borderId="30" xfId="67" applyNumberFormat="1" applyFont="1" applyFill="1" applyBorder="1" applyAlignment="1">
      <alignment horizontal="center" vertical="center"/>
    </xf>
    <xf numFmtId="3" fontId="135" fillId="34" borderId="31" xfId="67" applyNumberFormat="1" applyFont="1" applyFill="1" applyBorder="1" applyAlignment="1">
      <alignment horizontal="center" vertical="center"/>
    </xf>
    <xf numFmtId="3" fontId="116" fillId="0" borderId="30" xfId="67" applyNumberFormat="1" applyFont="1" applyBorder="1" applyAlignment="1">
      <alignment horizontal="center" vertical="center"/>
    </xf>
    <xf numFmtId="3" fontId="116" fillId="34" borderId="33" xfId="67" applyNumberFormat="1" applyFont="1" applyFill="1" applyBorder="1" applyAlignment="1">
      <alignment horizontal="center" vertical="center"/>
    </xf>
    <xf numFmtId="3" fontId="116" fillId="34" borderId="0" xfId="0" applyNumberFormat="1" applyFont="1" applyFill="1" applyAlignment="1">
      <alignment horizontal="center" vertical="center"/>
    </xf>
    <xf numFmtId="0" fontId="143" fillId="47" borderId="31" xfId="0" applyFont="1" applyFill="1" applyBorder="1" applyAlignment="1">
      <alignment horizontal="left" vertical="center" wrapText="1"/>
    </xf>
    <xf numFmtId="1" fontId="114" fillId="34" borderId="0" xfId="0" applyNumberFormat="1" applyFont="1" applyFill="1" applyAlignment="1">
      <alignment vertical="center"/>
    </xf>
    <xf numFmtId="0" fontId="49" fillId="34" borderId="0" xfId="0" applyFont="1" applyFill="1" applyAlignment="1">
      <alignment horizontal="left" vertical="center" wrapText="1"/>
    </xf>
    <xf numFmtId="2" fontId="49" fillId="34" borderId="0" xfId="0" applyNumberFormat="1" applyFont="1" applyFill="1" applyAlignment="1">
      <alignment horizontal="center" vertical="center" wrapText="1"/>
    </xf>
    <xf numFmtId="0" fontId="116" fillId="0" borderId="62" xfId="0" applyFont="1" applyBorder="1" applyAlignment="1">
      <alignment horizontal="left" vertical="center" wrapText="1"/>
    </xf>
    <xf numFmtId="0" fontId="116" fillId="0" borderId="64" xfId="0" applyFont="1" applyBorder="1" applyAlignment="1">
      <alignment horizontal="left" vertical="center" wrapText="1"/>
    </xf>
    <xf numFmtId="0" fontId="126" fillId="48" borderId="40" xfId="0" applyFont="1" applyFill="1" applyBorder="1" applyAlignment="1">
      <alignment horizontal="left" vertical="center" wrapText="1"/>
    </xf>
    <xf numFmtId="3" fontId="116" fillId="0" borderId="0" xfId="0" applyNumberFormat="1" applyFont="1" applyAlignment="1">
      <alignment horizontal="center" vertical="center"/>
    </xf>
    <xf numFmtId="0" fontId="49" fillId="34" borderId="40" xfId="0" applyFont="1" applyFill="1" applyBorder="1" applyAlignment="1">
      <alignment horizontal="left" vertical="center" wrapText="1"/>
    </xf>
    <xf numFmtId="1" fontId="49" fillId="34" borderId="46" xfId="0" applyNumberFormat="1" applyFont="1" applyFill="1" applyBorder="1" applyAlignment="1">
      <alignment horizontal="center" vertical="center" wrapText="1"/>
    </xf>
    <xf numFmtId="0" fontId="106" fillId="34" borderId="40" xfId="0" applyFont="1" applyFill="1" applyBorder="1" applyAlignment="1">
      <alignment horizontal="left" vertical="center" wrapText="1"/>
    </xf>
    <xf numFmtId="1" fontId="106" fillId="34" borderId="0" xfId="0" applyNumberFormat="1" applyFont="1" applyFill="1" applyAlignment="1">
      <alignment horizontal="center" vertical="center" wrapText="1"/>
    </xf>
    <xf numFmtId="3" fontId="116" fillId="51" borderId="63" xfId="67" applyNumberFormat="1" applyFont="1" applyFill="1" applyBorder="1" applyAlignment="1">
      <alignment horizontal="center" vertical="center"/>
    </xf>
    <xf numFmtId="3" fontId="116" fillId="51" borderId="46" xfId="67" applyNumberFormat="1" applyFont="1" applyFill="1" applyBorder="1" applyAlignment="1">
      <alignment horizontal="center" vertical="center"/>
    </xf>
    <xf numFmtId="3" fontId="135" fillId="51" borderId="46" xfId="67" applyNumberFormat="1" applyFont="1" applyFill="1" applyBorder="1" applyAlignment="1">
      <alignment horizontal="center" vertical="center"/>
    </xf>
    <xf numFmtId="3" fontId="116" fillId="51" borderId="46" xfId="0" applyNumberFormat="1" applyFont="1" applyFill="1" applyBorder="1" applyAlignment="1">
      <alignment horizontal="center" vertical="center"/>
    </xf>
    <xf numFmtId="0" fontId="116" fillId="49" borderId="40" xfId="0" applyFont="1" applyFill="1" applyBorder="1" applyAlignment="1">
      <alignment horizontal="left" vertical="center" wrapText="1"/>
    </xf>
    <xf numFmtId="1" fontId="116" fillId="49" borderId="0" xfId="0" applyNumberFormat="1" applyFont="1" applyFill="1" applyAlignment="1">
      <alignment horizontal="center" vertical="center" wrapText="1"/>
    </xf>
    <xf numFmtId="3" fontId="116" fillId="34" borderId="30" xfId="0" applyNumberFormat="1" applyFont="1" applyFill="1" applyBorder="1" applyAlignment="1">
      <alignment horizontal="center" vertical="center"/>
    </xf>
    <xf numFmtId="3" fontId="116" fillId="0" borderId="30" xfId="0" applyNumberFormat="1" applyFont="1" applyBorder="1" applyAlignment="1">
      <alignment horizontal="center" vertical="center"/>
    </xf>
    <xf numFmtId="3" fontId="116" fillId="51" borderId="65" xfId="0" applyNumberFormat="1" applyFont="1" applyFill="1" applyBorder="1" applyAlignment="1">
      <alignment horizontal="center" vertical="center"/>
    </xf>
    <xf numFmtId="0" fontId="116" fillId="34" borderId="30" xfId="0" applyFont="1" applyFill="1" applyBorder="1" applyAlignment="1">
      <alignment horizontal="center" vertical="center"/>
    </xf>
    <xf numFmtId="0" fontId="116" fillId="51" borderId="65" xfId="0" applyFont="1" applyFill="1" applyBorder="1" applyAlignment="1">
      <alignment horizontal="center" vertical="center"/>
    </xf>
    <xf numFmtId="0" fontId="116" fillId="0" borderId="66" xfId="0" applyFont="1" applyBorder="1" applyAlignment="1">
      <alignment horizontal="left" vertical="center" wrapText="1"/>
    </xf>
    <xf numFmtId="2" fontId="144" fillId="49" borderId="43" xfId="0" applyNumberFormat="1" applyFont="1" applyFill="1" applyBorder="1" applyAlignment="1">
      <alignment horizontal="center" vertical="center" wrapText="1"/>
    </xf>
    <xf numFmtId="2" fontId="144" fillId="49" borderId="50" xfId="0" applyNumberFormat="1" applyFont="1" applyFill="1" applyBorder="1" applyAlignment="1">
      <alignment horizontal="center" vertical="center" wrapText="1"/>
    </xf>
    <xf numFmtId="0" fontId="144" fillId="49" borderId="42" xfId="0" applyFont="1" applyFill="1" applyBorder="1" applyAlignment="1">
      <alignment horizontal="left" vertical="center" wrapText="1"/>
    </xf>
    <xf numFmtId="0" fontId="116" fillId="49" borderId="67" xfId="0" applyFont="1" applyFill="1" applyBorder="1" applyAlignment="1">
      <alignment horizontal="left" vertical="center" wrapText="1"/>
    </xf>
    <xf numFmtId="1" fontId="116" fillId="49" borderId="68" xfId="0" applyNumberFormat="1" applyFont="1" applyFill="1" applyBorder="1" applyAlignment="1">
      <alignment horizontal="center" vertical="center" wrapText="1"/>
    </xf>
    <xf numFmtId="1" fontId="116" fillId="49" borderId="69" xfId="0" applyNumberFormat="1" applyFont="1" applyFill="1" applyBorder="1" applyAlignment="1">
      <alignment horizontal="center" vertical="center" wrapText="1"/>
    </xf>
    <xf numFmtId="0" fontId="144" fillId="49" borderId="70" xfId="0" applyFont="1" applyFill="1" applyBorder="1" applyAlignment="1">
      <alignment horizontal="left" vertical="center" wrapText="1"/>
    </xf>
    <xf numFmtId="2" fontId="144" fillId="49" borderId="71" xfId="0" applyNumberFormat="1" applyFont="1" applyFill="1" applyBorder="1" applyAlignment="1">
      <alignment horizontal="center" vertical="center" wrapText="1"/>
    </xf>
    <xf numFmtId="1" fontId="106" fillId="34" borderId="46" xfId="0" applyNumberFormat="1" applyFont="1" applyFill="1" applyBorder="1" applyAlignment="1">
      <alignment horizontal="center" vertical="center" wrapText="1"/>
    </xf>
    <xf numFmtId="0" fontId="116" fillId="34" borderId="0" xfId="0" applyFont="1" applyFill="1" applyAlignment="1">
      <alignment vertical="center"/>
    </xf>
    <xf numFmtId="3" fontId="116" fillId="34" borderId="0" xfId="0" applyNumberFormat="1" applyFont="1" applyFill="1" applyAlignment="1">
      <alignment horizontal="center"/>
    </xf>
    <xf numFmtId="0" fontId="126" fillId="34" borderId="0" xfId="0" applyFont="1" applyFill="1" applyAlignment="1">
      <alignment vertical="center"/>
    </xf>
    <xf numFmtId="3" fontId="126" fillId="47" borderId="0" xfId="0" applyNumberFormat="1" applyFont="1" applyFill="1" applyAlignment="1">
      <alignment horizontal="center" vertical="center"/>
    </xf>
    <xf numFmtId="3" fontId="126" fillId="34" borderId="0" xfId="0" applyNumberFormat="1" applyFont="1" applyFill="1" applyAlignment="1">
      <alignment horizontal="center"/>
    </xf>
    <xf numFmtId="3" fontId="126" fillId="34" borderId="0" xfId="0" applyNumberFormat="1" applyFont="1" applyFill="1" applyAlignment="1">
      <alignment vertical="center"/>
    </xf>
    <xf numFmtId="0" fontId="116" fillId="0" borderId="0" xfId="0" applyFont="1" applyAlignment="1">
      <alignment vertical="center"/>
    </xf>
    <xf numFmtId="3" fontId="126" fillId="50" borderId="0" xfId="0" applyNumberFormat="1" applyFont="1" applyFill="1" applyAlignment="1">
      <alignment horizontal="center" vertical="center"/>
    </xf>
    <xf numFmtId="0" fontId="135" fillId="47" borderId="38" xfId="0" applyFont="1" applyFill="1" applyBorder="1" applyAlignment="1">
      <alignment vertical="center"/>
    </xf>
    <xf numFmtId="0" fontId="126" fillId="0" borderId="40" xfId="0" applyFont="1" applyBorder="1" applyAlignment="1">
      <alignment vertical="center"/>
    </xf>
    <xf numFmtId="3" fontId="116" fillId="0" borderId="0" xfId="0" applyNumberFormat="1" applyFont="1" applyAlignment="1">
      <alignment horizontal="center"/>
    </xf>
    <xf numFmtId="3" fontId="116" fillId="35" borderId="46" xfId="0" applyNumberFormat="1" applyFont="1" applyFill="1" applyBorder="1" applyAlignment="1">
      <alignment horizontal="center"/>
    </xf>
    <xf numFmtId="0" fontId="116" fillId="0" borderId="40" xfId="0" applyFont="1" applyBorder="1" applyAlignment="1">
      <alignment horizontal="left" vertical="center" indent="1"/>
    </xf>
    <xf numFmtId="0" fontId="116" fillId="0" borderId="40" xfId="0" applyFont="1" applyBorder="1" applyAlignment="1">
      <alignment horizontal="left" vertical="center" wrapText="1" indent="1"/>
    </xf>
    <xf numFmtId="0" fontId="126" fillId="47" borderId="40" xfId="0" applyFont="1" applyFill="1" applyBorder="1" applyAlignment="1">
      <alignment horizontal="left" vertical="center" wrapText="1" indent="1"/>
    </xf>
    <xf numFmtId="3" fontId="126" fillId="47" borderId="46" xfId="0" applyNumberFormat="1" applyFont="1" applyFill="1" applyBorder="1" applyAlignment="1">
      <alignment horizontal="center" vertical="center"/>
    </xf>
    <xf numFmtId="0" fontId="126" fillId="0" borderId="40" xfId="0" applyFont="1" applyBorder="1" applyAlignment="1">
      <alignment vertical="center" wrapText="1"/>
    </xf>
    <xf numFmtId="3" fontId="126" fillId="0" borderId="0" xfId="0" applyNumberFormat="1" applyFont="1" applyAlignment="1">
      <alignment horizontal="center"/>
    </xf>
    <xf numFmtId="3" fontId="126" fillId="35" borderId="46" xfId="0" applyNumberFormat="1" applyFont="1" applyFill="1" applyBorder="1" applyAlignment="1">
      <alignment horizontal="center"/>
    </xf>
    <xf numFmtId="0" fontId="116" fillId="0" borderId="40" xfId="0" applyFont="1" applyBorder="1" applyAlignment="1">
      <alignment horizontal="left" vertical="center" indent="4"/>
    </xf>
    <xf numFmtId="3" fontId="126" fillId="50" borderId="46" xfId="0" applyNumberFormat="1" applyFont="1" applyFill="1" applyBorder="1" applyAlignment="1">
      <alignment horizontal="center" vertical="center"/>
    </xf>
    <xf numFmtId="0" fontId="126" fillId="47" borderId="42" xfId="0" applyFont="1" applyFill="1" applyBorder="1" applyAlignment="1">
      <alignment horizontal="left" vertical="center" wrapText="1" indent="1"/>
    </xf>
    <xf numFmtId="3" fontId="126" fillId="47" borderId="43" xfId="0" applyNumberFormat="1" applyFont="1" applyFill="1" applyBorder="1" applyAlignment="1">
      <alignment horizontal="center" vertical="center"/>
    </xf>
    <xf numFmtId="3" fontId="126" fillId="47" borderId="50" xfId="0" applyNumberFormat="1" applyFont="1" applyFill="1" applyBorder="1" applyAlignment="1">
      <alignment horizontal="center" vertical="center"/>
    </xf>
    <xf numFmtId="3" fontId="126" fillId="47" borderId="49" xfId="0" applyNumberFormat="1" applyFont="1" applyFill="1" applyBorder="1" applyAlignment="1">
      <alignment horizontal="center" vertical="center"/>
    </xf>
    <xf numFmtId="3" fontId="126" fillId="50" borderId="49" xfId="0" applyNumberFormat="1" applyFont="1" applyFill="1" applyBorder="1" applyAlignment="1">
      <alignment horizontal="center" vertical="center"/>
    </xf>
    <xf numFmtId="3" fontId="126" fillId="47" borderId="51" xfId="0" applyNumberFormat="1" applyFont="1" applyFill="1" applyBorder="1" applyAlignment="1">
      <alignment horizontal="center" vertical="center"/>
    </xf>
    <xf numFmtId="9" fontId="48" fillId="34" borderId="0" xfId="132" applyFont="1" applyFill="1" applyBorder="1" applyAlignment="1">
      <alignment horizontal="center"/>
    </xf>
    <xf numFmtId="199" fontId="46" fillId="34" borderId="0" xfId="0" applyNumberFormat="1" applyFont="1" applyFill="1" applyAlignment="1">
      <alignment horizontal="center" vertical="center"/>
    </xf>
    <xf numFmtId="173" fontId="126" fillId="47" borderId="72" xfId="0" applyNumberFormat="1" applyFont="1" applyFill="1" applyBorder="1" applyAlignment="1">
      <alignment horizontal="center" vertical="center"/>
    </xf>
    <xf numFmtId="3" fontId="115" fillId="0" borderId="73" xfId="0" applyNumberFormat="1" applyFont="1" applyBorder="1" applyAlignment="1">
      <alignment horizontal="center" vertical="center" wrapText="1"/>
    </xf>
    <xf numFmtId="9" fontId="116" fillId="0" borderId="73" xfId="132" applyFont="1" applyFill="1" applyBorder="1" applyAlignment="1">
      <alignment horizontal="center" vertical="center"/>
    </xf>
    <xf numFmtId="9" fontId="116" fillId="50" borderId="73" xfId="132" applyFont="1" applyFill="1" applyBorder="1" applyAlignment="1">
      <alignment horizontal="center" vertical="center"/>
    </xf>
    <xf numFmtId="9" fontId="116" fillId="50" borderId="74" xfId="132" applyFont="1" applyFill="1" applyBorder="1" applyAlignment="1">
      <alignment horizontal="center" vertical="center"/>
    </xf>
    <xf numFmtId="0" fontId="122" fillId="34" borderId="0" xfId="0" applyFont="1" applyFill="1" applyAlignment="1">
      <alignment vertical="center"/>
    </xf>
    <xf numFmtId="0" fontId="126" fillId="0" borderId="0" xfId="0" applyFont="1" applyAlignment="1">
      <alignment horizontal="center" vertical="center" wrapText="1"/>
    </xf>
    <xf numFmtId="3" fontId="126" fillId="0" borderId="0" xfId="0" applyNumberFormat="1" applyFont="1" applyAlignment="1">
      <alignment horizontal="center" vertical="center"/>
    </xf>
    <xf numFmtId="3" fontId="126" fillId="34" borderId="0" xfId="0" applyNumberFormat="1" applyFont="1" applyFill="1" applyAlignment="1">
      <alignment horizontal="center" vertical="center"/>
    </xf>
    <xf numFmtId="9" fontId="126" fillId="34" borderId="0" xfId="0" applyNumberFormat="1" applyFont="1" applyFill="1" applyAlignment="1">
      <alignment horizontal="center" vertical="center"/>
    </xf>
    <xf numFmtId="9" fontId="116" fillId="34" borderId="0" xfId="0" applyNumberFormat="1" applyFont="1" applyFill="1" applyAlignment="1">
      <alignment horizontal="center" vertical="center"/>
    </xf>
    <xf numFmtId="0" fontId="126" fillId="0" borderId="0" xfId="0" applyFont="1" applyAlignment="1">
      <alignment horizontal="left" vertical="center"/>
    </xf>
    <xf numFmtId="9" fontId="145" fillId="34" borderId="0" xfId="0" applyNumberFormat="1" applyFont="1" applyFill="1" applyAlignment="1">
      <alignment horizontal="center" vertical="center"/>
    </xf>
    <xf numFmtId="9" fontId="145" fillId="0" borderId="0" xfId="0" applyNumberFormat="1" applyFont="1" applyAlignment="1">
      <alignment horizontal="center" vertical="center"/>
    </xf>
    <xf numFmtId="0" fontId="115" fillId="0" borderId="0" xfId="184" applyFont="1" applyAlignment="1">
      <alignment vertical="center"/>
    </xf>
    <xf numFmtId="0" fontId="115" fillId="0" borderId="0" xfId="184" applyFont="1" applyAlignment="1">
      <alignment horizontal="left" vertical="center"/>
    </xf>
    <xf numFmtId="0" fontId="134" fillId="50" borderId="38" xfId="0" applyFont="1" applyFill="1" applyBorder="1" applyAlignment="1">
      <alignment horizontal="left" vertical="center"/>
    </xf>
    <xf numFmtId="173" fontId="126" fillId="50" borderId="39" xfId="0" applyNumberFormat="1" applyFont="1" applyFill="1" applyBorder="1" applyAlignment="1">
      <alignment horizontal="center" vertical="center" wrapText="1"/>
    </xf>
    <xf numFmtId="173" fontId="126" fillId="50" borderId="45" xfId="0" applyNumberFormat="1" applyFont="1" applyFill="1" applyBorder="1" applyAlignment="1">
      <alignment horizontal="center" vertical="center" wrapText="1"/>
    </xf>
    <xf numFmtId="3" fontId="126" fillId="48" borderId="46" xfId="0" applyNumberFormat="1" applyFont="1" applyFill="1" applyBorder="1" applyAlignment="1">
      <alignment horizontal="center" vertical="center"/>
    </xf>
    <xf numFmtId="0" fontId="116" fillId="0" borderId="40" xfId="0" applyFont="1" applyBorder="1" applyAlignment="1">
      <alignment vertical="center"/>
    </xf>
    <xf numFmtId="3" fontId="116" fillId="48" borderId="46" xfId="0" applyNumberFormat="1" applyFont="1" applyFill="1" applyBorder="1" applyAlignment="1">
      <alignment horizontal="center" vertical="center"/>
    </xf>
    <xf numFmtId="0" fontId="126" fillId="37" borderId="42" xfId="0" applyFont="1" applyFill="1" applyBorder="1" applyAlignment="1">
      <alignment horizontal="left" vertical="center" wrapText="1"/>
    </xf>
    <xf numFmtId="0" fontId="116" fillId="0" borderId="40" xfId="0" applyFont="1" applyBorder="1" applyAlignment="1">
      <alignment horizontal="left" vertical="center"/>
    </xf>
    <xf numFmtId="0" fontId="126" fillId="0" borderId="40" xfId="0" applyFont="1" applyBorder="1" applyAlignment="1">
      <alignment horizontal="left" vertical="center"/>
    </xf>
    <xf numFmtId="0" fontId="134" fillId="0" borderId="40" xfId="0" applyFont="1" applyBorder="1" applyAlignment="1">
      <alignment horizontal="left" vertical="center"/>
    </xf>
    <xf numFmtId="9" fontId="116" fillId="0" borderId="0" xfId="0" applyNumberFormat="1" applyFont="1" applyAlignment="1">
      <alignment horizontal="center" vertical="center"/>
    </xf>
    <xf numFmtId="9" fontId="116" fillId="48" borderId="46" xfId="0" applyNumberFormat="1" applyFont="1" applyFill="1" applyBorder="1" applyAlignment="1">
      <alignment horizontal="center" vertical="center"/>
    </xf>
    <xf numFmtId="0" fontId="126" fillId="0" borderId="42" xfId="0" applyFont="1" applyBorder="1" applyAlignment="1">
      <alignment horizontal="left" vertical="center"/>
    </xf>
    <xf numFmtId="9" fontId="145" fillId="34" borderId="43" xfId="0" applyNumberFormat="1" applyFont="1" applyFill="1" applyBorder="1" applyAlignment="1">
      <alignment horizontal="center" vertical="center"/>
    </xf>
    <xf numFmtId="9" fontId="145" fillId="0" borderId="43" xfId="0" applyNumberFormat="1" applyFont="1" applyBorder="1" applyAlignment="1">
      <alignment horizontal="center" vertical="center"/>
    </xf>
    <xf numFmtId="9" fontId="145" fillId="48" borderId="50" xfId="0" applyNumberFormat="1" applyFont="1" applyFill="1" applyBorder="1" applyAlignment="1">
      <alignment horizontal="center" vertical="center"/>
    </xf>
    <xf numFmtId="9" fontId="126" fillId="0" borderId="0" xfId="0" applyNumberFormat="1" applyFont="1" applyAlignment="1">
      <alignment horizontal="center" vertical="center"/>
    </xf>
    <xf numFmtId="173" fontId="126" fillId="50" borderId="48" xfId="0" applyNumberFormat="1" applyFont="1" applyFill="1" applyBorder="1" applyAlignment="1">
      <alignment horizontal="center" vertical="center" wrapText="1"/>
    </xf>
    <xf numFmtId="3" fontId="116" fillId="34" borderId="49" xfId="0" applyNumberFormat="1" applyFont="1" applyFill="1" applyBorder="1" applyAlignment="1">
      <alignment horizontal="center" vertical="center"/>
    </xf>
    <xf numFmtId="0" fontId="146" fillId="0" borderId="64" xfId="0" applyFont="1" applyBorder="1" applyAlignment="1">
      <alignment horizontal="left" vertical="center" wrapText="1"/>
    </xf>
    <xf numFmtId="0" fontId="126" fillId="0" borderId="12" xfId="0" applyFont="1" applyBorder="1" applyAlignment="1">
      <alignment horizontal="left"/>
    </xf>
    <xf numFmtId="3" fontId="151" fillId="34" borderId="0" xfId="0" applyNumberFormat="1" applyFont="1" applyFill="1" applyAlignment="1">
      <alignment horizontal="center" vertical="center"/>
    </xf>
    <xf numFmtId="0" fontId="115" fillId="34" borderId="0" xfId="0" applyFont="1" applyFill="1" applyAlignment="1">
      <alignment horizontal="left" vertical="top" wrapText="1"/>
    </xf>
    <xf numFmtId="0" fontId="116" fillId="0" borderId="0" xfId="0" applyFont="1" applyAlignment="1">
      <alignment horizontal="left" vertical="center" wrapText="1"/>
    </xf>
    <xf numFmtId="0" fontId="115" fillId="0" borderId="0" xfId="0" applyFont="1" applyAlignment="1">
      <alignment horizontal="left" vertical="top" wrapText="1"/>
    </xf>
    <xf numFmtId="0" fontId="115" fillId="0" borderId="0" xfId="0" applyFont="1" applyAlignment="1">
      <alignment horizontal="left" vertical="top"/>
    </xf>
    <xf numFmtId="0" fontId="126" fillId="0" borderId="78" xfId="0" applyFont="1" applyBorder="1" applyAlignment="1">
      <alignment horizontal="left"/>
    </xf>
    <xf numFmtId="0" fontId="126" fillId="0" borderId="79" xfId="0" applyFont="1" applyBorder="1" applyAlignment="1">
      <alignment horizontal="left"/>
    </xf>
    <xf numFmtId="0" fontId="151" fillId="34" borderId="40" xfId="0" applyFont="1" applyFill="1" applyBorder="1" applyAlignment="1">
      <alignment horizontal="left" vertical="center" wrapText="1" indent="3"/>
    </xf>
    <xf numFmtId="3" fontId="151" fillId="0" borderId="0" xfId="0" applyNumberFormat="1" applyFont="1" applyAlignment="1">
      <alignment horizontal="center" vertical="center"/>
    </xf>
    <xf numFmtId="0" fontId="116" fillId="34" borderId="40" xfId="0" applyFont="1" applyFill="1" applyBorder="1" applyAlignment="1">
      <alignment horizontal="left" vertical="center" wrapText="1"/>
    </xf>
    <xf numFmtId="0" fontId="116" fillId="0" borderId="46" xfId="0" applyFont="1" applyBorder="1" applyAlignment="1">
      <alignment vertical="center"/>
    </xf>
    <xf numFmtId="0" fontId="126" fillId="0" borderId="85" xfId="0" applyFont="1" applyBorder="1" applyAlignment="1">
      <alignment horizontal="left"/>
    </xf>
    <xf numFmtId="0" fontId="116" fillId="0" borderId="49" xfId="0" applyFont="1" applyBorder="1" applyAlignment="1">
      <alignment vertical="center"/>
    </xf>
    <xf numFmtId="0" fontId="126" fillId="0" borderId="96" xfId="0" applyFont="1" applyBorder="1" applyAlignment="1">
      <alignment horizontal="left"/>
    </xf>
    <xf numFmtId="0" fontId="126" fillId="0" borderId="97" xfId="0" applyFont="1" applyBorder="1" applyAlignment="1">
      <alignment horizontal="center" vertical="center"/>
    </xf>
    <xf numFmtId="0" fontId="126" fillId="0" borderId="98" xfId="0" applyFont="1" applyBorder="1" applyAlignment="1">
      <alignment horizontal="center" vertical="center"/>
    </xf>
    <xf numFmtId="0" fontId="126" fillId="0" borderId="99" xfId="0" applyFont="1" applyBorder="1" applyAlignment="1">
      <alignment horizontal="center" vertical="center"/>
    </xf>
    <xf numFmtId="0" fontId="126" fillId="0" borderId="97" xfId="0" applyFont="1" applyBorder="1" applyAlignment="1">
      <alignment horizontal="left"/>
    </xf>
    <xf numFmtId="0" fontId="126" fillId="0" borderId="98" xfId="0" applyFont="1" applyBorder="1" applyAlignment="1">
      <alignment horizontal="left"/>
    </xf>
    <xf numFmtId="0" fontId="126" fillId="0" borderId="99" xfId="0" applyFont="1" applyBorder="1" applyAlignment="1">
      <alignment horizontal="left"/>
    </xf>
    <xf numFmtId="0" fontId="135" fillId="50" borderId="38" xfId="0" applyFont="1" applyFill="1" applyBorder="1" applyAlignment="1">
      <alignment vertical="center"/>
    </xf>
    <xf numFmtId="0" fontId="126" fillId="50" borderId="39" xfId="0" applyFont="1" applyFill="1" applyBorder="1" applyAlignment="1">
      <alignment horizontal="center" vertical="center" wrapText="1"/>
    </xf>
    <xf numFmtId="0" fontId="126" fillId="50" borderId="48" xfId="0" applyFont="1" applyFill="1" applyBorder="1" applyAlignment="1">
      <alignment horizontal="center" vertical="center" wrapText="1"/>
    </xf>
    <xf numFmtId="0" fontId="126" fillId="50" borderId="45" xfId="0" applyFont="1" applyFill="1" applyBorder="1" applyAlignment="1">
      <alignment horizontal="center" vertical="center" wrapText="1"/>
    </xf>
    <xf numFmtId="0" fontId="143" fillId="50" borderId="91" xfId="0" applyFont="1" applyFill="1" applyBorder="1" applyAlignment="1">
      <alignment horizontal="left" vertical="center" wrapText="1"/>
    </xf>
    <xf numFmtId="3" fontId="126" fillId="50" borderId="61" xfId="0" applyNumberFormat="1" applyFont="1" applyFill="1" applyBorder="1" applyAlignment="1">
      <alignment horizontal="center" vertical="center" wrapText="1"/>
    </xf>
    <xf numFmtId="3" fontId="126" fillId="50" borderId="84" xfId="0" applyNumberFormat="1" applyFont="1" applyFill="1" applyBorder="1" applyAlignment="1">
      <alignment horizontal="center" vertical="center" wrapText="1"/>
    </xf>
    <xf numFmtId="3" fontId="126" fillId="50" borderId="77" xfId="0" applyNumberFormat="1" applyFont="1" applyFill="1" applyBorder="1" applyAlignment="1">
      <alignment horizontal="center" vertical="center" wrapText="1"/>
    </xf>
    <xf numFmtId="0" fontId="143" fillId="50" borderId="92" xfId="0" applyFont="1" applyFill="1" applyBorder="1" applyAlignment="1">
      <alignment horizontal="left" vertical="center" wrapText="1"/>
    </xf>
    <xf numFmtId="3" fontId="126" fillId="50" borderId="93" xfId="0" applyNumberFormat="1" applyFont="1" applyFill="1" applyBorder="1" applyAlignment="1">
      <alignment horizontal="center" vertical="center" wrapText="1"/>
    </xf>
    <xf numFmtId="3" fontId="126" fillId="50" borderId="94" xfId="0" applyNumberFormat="1" applyFont="1" applyFill="1" applyBorder="1" applyAlignment="1">
      <alignment horizontal="center" vertical="center" wrapText="1"/>
    </xf>
    <xf numFmtId="3" fontId="126" fillId="50" borderId="95" xfId="0" applyNumberFormat="1" applyFont="1" applyFill="1" applyBorder="1" applyAlignment="1">
      <alignment horizontal="center" vertical="center" wrapText="1"/>
    </xf>
    <xf numFmtId="0" fontId="143" fillId="50" borderId="41" xfId="0" applyFont="1" applyFill="1" applyBorder="1" applyAlignment="1">
      <alignment horizontal="left" vertical="center" wrapText="1"/>
    </xf>
    <xf numFmtId="4" fontId="126" fillId="50" borderId="37" xfId="0" applyNumberFormat="1" applyFont="1" applyFill="1" applyBorder="1" applyAlignment="1">
      <alignment horizontal="center" vertical="center" wrapText="1"/>
    </xf>
    <xf numFmtId="4" fontId="126" fillId="50" borderId="44" xfId="0" applyNumberFormat="1" applyFont="1" applyFill="1" applyBorder="1" applyAlignment="1">
      <alignment horizontal="center" vertical="center" wrapText="1"/>
    </xf>
    <xf numFmtId="4" fontId="126" fillId="50" borderId="47" xfId="0" applyNumberFormat="1" applyFont="1" applyFill="1" applyBorder="1" applyAlignment="1">
      <alignment horizontal="center" vertical="center" wrapText="1"/>
    </xf>
    <xf numFmtId="0" fontId="143" fillId="50" borderId="87" xfId="0" applyFont="1" applyFill="1" applyBorder="1" applyAlignment="1">
      <alignment horizontal="left" vertical="center" wrapText="1"/>
    </xf>
    <xf numFmtId="3" fontId="126" fillId="50" borderId="88" xfId="0" applyNumberFormat="1" applyFont="1" applyFill="1" applyBorder="1" applyAlignment="1">
      <alignment horizontal="center" vertical="center" wrapText="1"/>
    </xf>
    <xf numFmtId="3" fontId="126" fillId="50" borderId="89" xfId="0" applyNumberFormat="1" applyFont="1" applyFill="1" applyBorder="1" applyAlignment="1">
      <alignment horizontal="center" vertical="center" wrapText="1"/>
    </xf>
    <xf numFmtId="3" fontId="126" fillId="50" borderId="90" xfId="0" applyNumberFormat="1" applyFont="1" applyFill="1" applyBorder="1" applyAlignment="1">
      <alignment horizontal="center" vertical="center" wrapText="1"/>
    </xf>
    <xf numFmtId="0" fontId="153" fillId="50" borderId="78" xfId="0" applyFont="1" applyFill="1" applyBorder="1" applyAlignment="1">
      <alignment horizontal="left" vertical="center" wrapText="1" indent="2"/>
    </xf>
    <xf numFmtId="4" fontId="149" fillId="50" borderId="12" xfId="0" applyNumberFormat="1" applyFont="1" applyFill="1" applyBorder="1" applyAlignment="1">
      <alignment horizontal="center" vertical="center" wrapText="1"/>
    </xf>
    <xf numFmtId="4" fontId="149" fillId="50" borderId="85" xfId="0" applyNumberFormat="1" applyFont="1" applyFill="1" applyBorder="1" applyAlignment="1">
      <alignment horizontal="center" vertical="center" wrapText="1"/>
    </xf>
    <xf numFmtId="4" fontId="149" fillId="50" borderId="79" xfId="0" applyNumberFormat="1" applyFont="1" applyFill="1" applyBorder="1" applyAlignment="1">
      <alignment horizontal="center" vertical="center" wrapText="1"/>
    </xf>
    <xf numFmtId="0" fontId="143" fillId="50" borderId="75" xfId="0" applyFont="1" applyFill="1" applyBorder="1" applyAlignment="1">
      <alignment horizontal="left" vertical="center" wrapText="1"/>
    </xf>
    <xf numFmtId="3" fontId="126" fillId="50" borderId="60" xfId="0" applyNumberFormat="1" applyFont="1" applyFill="1" applyBorder="1" applyAlignment="1">
      <alignment horizontal="center" vertical="center" wrapText="1"/>
    </xf>
    <xf numFmtId="3" fontId="126" fillId="50" borderId="83" xfId="0" applyNumberFormat="1" applyFont="1" applyFill="1" applyBorder="1" applyAlignment="1">
      <alignment horizontal="center" vertical="center" wrapText="1"/>
    </xf>
    <xf numFmtId="3" fontId="126" fillId="50" borderId="76" xfId="0" applyNumberFormat="1" applyFont="1" applyFill="1" applyBorder="1" applyAlignment="1">
      <alignment horizontal="center" vertical="center" wrapText="1"/>
    </xf>
    <xf numFmtId="0" fontId="153" fillId="50" borderId="80" xfId="0" applyFont="1" applyFill="1" applyBorder="1" applyAlignment="1">
      <alignment horizontal="left" vertical="center" wrapText="1" indent="2"/>
    </xf>
    <xf numFmtId="4" fontId="149" fillId="50" borderId="81" xfId="0" applyNumberFormat="1" applyFont="1" applyFill="1" applyBorder="1" applyAlignment="1">
      <alignment horizontal="center" vertical="center" wrapText="1"/>
    </xf>
    <xf numFmtId="4" fontId="149" fillId="50" borderId="86" xfId="0" applyNumberFormat="1" applyFont="1" applyFill="1" applyBorder="1" applyAlignment="1">
      <alignment horizontal="center" vertical="center" wrapText="1"/>
    </xf>
    <xf numFmtId="4" fontId="149" fillId="50" borderId="82" xfId="0" applyNumberFormat="1" applyFont="1" applyFill="1" applyBorder="1" applyAlignment="1">
      <alignment horizontal="center" vertical="center" wrapText="1"/>
    </xf>
    <xf numFmtId="3" fontId="151" fillId="48" borderId="46" xfId="0" applyNumberFormat="1" applyFont="1" applyFill="1" applyBorder="1" applyAlignment="1">
      <alignment horizontal="center" vertical="center"/>
    </xf>
    <xf numFmtId="0" fontId="126" fillId="52" borderId="96" xfId="0" applyFont="1" applyFill="1" applyBorder="1" applyAlignment="1">
      <alignment horizontal="left" vertical="center" wrapText="1"/>
    </xf>
    <xf numFmtId="1" fontId="126" fillId="52" borderId="97" xfId="0" applyNumberFormat="1" applyFont="1" applyFill="1" applyBorder="1" applyAlignment="1">
      <alignment horizontal="center" vertical="center" wrapText="1"/>
    </xf>
    <xf numFmtId="1" fontId="126" fillId="52" borderId="98" xfId="0" applyNumberFormat="1" applyFont="1" applyFill="1" applyBorder="1" applyAlignment="1">
      <alignment horizontal="center" vertical="center" wrapText="1"/>
    </xf>
    <xf numFmtId="1" fontId="126" fillId="52" borderId="99" xfId="0" applyNumberFormat="1" applyFont="1" applyFill="1" applyBorder="1" applyAlignment="1">
      <alignment horizontal="center" vertical="center" wrapText="1"/>
    </xf>
    <xf numFmtId="0" fontId="149" fillId="52" borderId="40" xfId="0" applyFont="1" applyFill="1" applyBorder="1" applyAlignment="1">
      <alignment horizontal="left" vertical="center" wrapText="1" indent="1"/>
    </xf>
    <xf numFmtId="1" fontId="126" fillId="52" borderId="0" xfId="0" applyNumberFormat="1" applyFont="1" applyFill="1" applyAlignment="1">
      <alignment horizontal="center" vertical="center" wrapText="1"/>
    </xf>
    <xf numFmtId="1" fontId="126" fillId="52" borderId="49" xfId="0" applyNumberFormat="1" applyFont="1" applyFill="1" applyBorder="1" applyAlignment="1">
      <alignment horizontal="center" vertical="center" wrapText="1"/>
    </xf>
    <xf numFmtId="1" fontId="126" fillId="52" borderId="46" xfId="0" applyNumberFormat="1" applyFont="1" applyFill="1" applyBorder="1" applyAlignment="1">
      <alignment horizontal="center" vertical="center" wrapText="1"/>
    </xf>
    <xf numFmtId="3" fontId="126" fillId="52" borderId="97" xfId="0" applyNumberFormat="1" applyFont="1" applyFill="1" applyBorder="1" applyAlignment="1">
      <alignment horizontal="center" vertical="center" wrapText="1"/>
    </xf>
    <xf numFmtId="3" fontId="126" fillId="52" borderId="98" xfId="0" applyNumberFormat="1" applyFont="1" applyFill="1" applyBorder="1" applyAlignment="1">
      <alignment horizontal="center" vertical="center" wrapText="1"/>
    </xf>
    <xf numFmtId="3" fontId="126" fillId="52" borderId="99" xfId="0" applyNumberFormat="1" applyFont="1" applyFill="1" applyBorder="1" applyAlignment="1">
      <alignment horizontal="center" vertical="center" wrapText="1"/>
    </xf>
    <xf numFmtId="0" fontId="149" fillId="52" borderId="96" xfId="0" applyFont="1" applyFill="1" applyBorder="1" applyAlignment="1">
      <alignment horizontal="left" vertical="center" wrapText="1" indent="1"/>
    </xf>
    <xf numFmtId="3" fontId="149" fillId="52" borderId="97" xfId="0" applyNumberFormat="1" applyFont="1" applyFill="1" applyBorder="1" applyAlignment="1">
      <alignment horizontal="center" vertical="center" wrapText="1"/>
    </xf>
    <xf numFmtId="3" fontId="149" fillId="52" borderId="98" xfId="0" applyNumberFormat="1" applyFont="1" applyFill="1" applyBorder="1" applyAlignment="1">
      <alignment horizontal="center" vertical="center" wrapText="1"/>
    </xf>
    <xf numFmtId="3" fontId="149" fillId="52" borderId="99" xfId="0" applyNumberFormat="1" applyFont="1" applyFill="1" applyBorder="1" applyAlignment="1">
      <alignment horizontal="center" vertical="center" wrapText="1"/>
    </xf>
    <xf numFmtId="0" fontId="135" fillId="52" borderId="96" xfId="0" applyFont="1" applyFill="1" applyBorder="1" applyAlignment="1">
      <alignment horizontal="left" vertical="center" wrapText="1"/>
    </xf>
    <xf numFmtId="3" fontId="135" fillId="52" borderId="97" xfId="0" applyNumberFormat="1" applyFont="1" applyFill="1" applyBorder="1" applyAlignment="1">
      <alignment horizontal="center" vertical="center" wrapText="1"/>
    </xf>
    <xf numFmtId="3" fontId="135" fillId="52" borderId="98" xfId="0" applyNumberFormat="1" applyFont="1" applyFill="1" applyBorder="1" applyAlignment="1">
      <alignment horizontal="center" vertical="center" wrapText="1"/>
    </xf>
    <xf numFmtId="3" fontId="135" fillId="52" borderId="99" xfId="0" applyNumberFormat="1" applyFont="1" applyFill="1" applyBorder="1" applyAlignment="1">
      <alignment horizontal="center" vertical="center" wrapText="1"/>
    </xf>
    <xf numFmtId="0" fontId="116" fillId="52" borderId="87" xfId="0" applyFont="1" applyFill="1" applyBorder="1" applyAlignment="1">
      <alignment horizontal="left" vertical="center" wrapText="1"/>
    </xf>
    <xf numFmtId="3" fontId="116" fillId="52" borderId="88" xfId="0" applyNumberFormat="1" applyFont="1" applyFill="1" applyBorder="1" applyAlignment="1">
      <alignment horizontal="center" vertical="center" wrapText="1"/>
    </xf>
    <xf numFmtId="3" fontId="116" fillId="52" borderId="89" xfId="0" applyNumberFormat="1" applyFont="1" applyFill="1" applyBorder="1" applyAlignment="1">
      <alignment horizontal="center" vertical="center" wrapText="1"/>
    </xf>
    <xf numFmtId="3" fontId="116" fillId="52" borderId="90" xfId="0" applyNumberFormat="1" applyFont="1" applyFill="1" applyBorder="1" applyAlignment="1">
      <alignment horizontal="center" vertical="center" wrapText="1"/>
    </xf>
    <xf numFmtId="0" fontId="116" fillId="52" borderId="80" xfId="0" applyFont="1" applyFill="1" applyBorder="1" applyAlignment="1">
      <alignment horizontal="left" vertical="center" wrapText="1"/>
    </xf>
    <xf numFmtId="3" fontId="116" fillId="52" borderId="43" xfId="0" applyNumberFormat="1" applyFont="1" applyFill="1" applyBorder="1" applyAlignment="1">
      <alignment horizontal="center" vertical="center" wrapText="1"/>
    </xf>
    <xf numFmtId="3" fontId="116" fillId="52" borderId="51" xfId="0" applyNumberFormat="1" applyFont="1" applyFill="1" applyBorder="1" applyAlignment="1">
      <alignment horizontal="center" vertical="center" wrapText="1"/>
    </xf>
    <xf numFmtId="3" fontId="116" fillId="52" borderId="50" xfId="0" applyNumberFormat="1" applyFont="1" applyFill="1" applyBorder="1" applyAlignment="1">
      <alignment horizontal="center" vertical="center" wrapText="1"/>
    </xf>
    <xf numFmtId="1" fontId="116" fillId="34" borderId="0" xfId="0" applyNumberFormat="1" applyFont="1" applyFill="1" applyAlignment="1">
      <alignment horizontal="center" vertical="center"/>
    </xf>
    <xf numFmtId="1" fontId="135" fillId="34" borderId="0" xfId="0" applyNumberFormat="1" applyFont="1" applyFill="1" applyAlignment="1">
      <alignment horizontal="center" vertical="center"/>
    </xf>
    <xf numFmtId="2" fontId="116" fillId="34" borderId="0" xfId="0" applyNumberFormat="1" applyFont="1" applyFill="1" applyAlignment="1">
      <alignment horizontal="center" vertical="center"/>
    </xf>
    <xf numFmtId="1" fontId="116" fillId="0" borderId="0" xfId="0" applyNumberFormat="1" applyFont="1" applyAlignment="1">
      <alignment horizontal="center" vertical="center"/>
    </xf>
    <xf numFmtId="1" fontId="116" fillId="48" borderId="46" xfId="0" applyNumberFormat="1" applyFont="1" applyFill="1" applyBorder="1" applyAlignment="1">
      <alignment horizontal="center" vertical="center"/>
    </xf>
    <xf numFmtId="0" fontId="135" fillId="0" borderId="40" xfId="0" applyFont="1" applyBorder="1" applyAlignment="1">
      <alignment horizontal="left" vertical="center" wrapText="1"/>
    </xf>
    <xf numFmtId="1" fontId="135" fillId="0" borderId="0" xfId="0" applyNumberFormat="1" applyFont="1" applyAlignment="1">
      <alignment horizontal="center" vertical="center"/>
    </xf>
    <xf numFmtId="1" fontId="135" fillId="48" borderId="46" xfId="0" applyNumberFormat="1" applyFont="1" applyFill="1" applyBorder="1" applyAlignment="1">
      <alignment horizontal="center" vertical="center"/>
    </xf>
    <xf numFmtId="2" fontId="116" fillId="0" borderId="0" xfId="0" applyNumberFormat="1" applyFont="1" applyAlignment="1">
      <alignment horizontal="center" vertical="center"/>
    </xf>
    <xf numFmtId="2" fontId="116" fillId="48" borderId="46" xfId="0" applyNumberFormat="1" applyFont="1" applyFill="1" applyBorder="1" applyAlignment="1">
      <alignment horizontal="center" vertical="center"/>
    </xf>
    <xf numFmtId="2" fontId="126" fillId="0" borderId="0" xfId="0" applyNumberFormat="1" applyFont="1" applyAlignment="1">
      <alignment horizontal="left"/>
    </xf>
    <xf numFmtId="10" fontId="126" fillId="50" borderId="43" xfId="132" applyNumberFormat="1" applyFont="1" applyFill="1" applyBorder="1" applyAlignment="1">
      <alignment horizontal="center" vertical="center" wrapText="1"/>
    </xf>
    <xf numFmtId="1" fontId="116" fillId="34" borderId="49" xfId="0" applyNumberFormat="1" applyFont="1" applyFill="1" applyBorder="1" applyAlignment="1">
      <alignment horizontal="center" vertical="center"/>
    </xf>
    <xf numFmtId="0" fontId="126" fillId="0" borderId="40" xfId="0" applyFont="1" applyBorder="1" applyAlignment="1">
      <alignment horizontal="left"/>
    </xf>
    <xf numFmtId="2" fontId="126" fillId="0" borderId="49" xfId="0" applyNumberFormat="1" applyFont="1" applyBorder="1" applyAlignment="1">
      <alignment horizontal="left"/>
    </xf>
    <xf numFmtId="2" fontId="126" fillId="0" borderId="46" xfId="0" applyNumberFormat="1" applyFont="1" applyBorder="1" applyAlignment="1">
      <alignment horizontal="left"/>
    </xf>
    <xf numFmtId="0" fontId="143" fillId="50" borderId="96" xfId="0" applyFont="1" applyFill="1" applyBorder="1" applyAlignment="1">
      <alignment horizontal="left" vertical="center" wrapText="1"/>
    </xf>
    <xf numFmtId="1" fontId="126" fillId="50" borderId="97" xfId="0" applyNumberFormat="1" applyFont="1" applyFill="1" applyBorder="1" applyAlignment="1">
      <alignment horizontal="center" vertical="center" wrapText="1"/>
    </xf>
    <xf numFmtId="1" fontId="126" fillId="50" borderId="98" xfId="0" applyNumberFormat="1" applyFont="1" applyFill="1" applyBorder="1" applyAlignment="1">
      <alignment horizontal="center" vertical="center" wrapText="1"/>
    </xf>
    <xf numFmtId="1" fontId="126" fillId="50" borderId="99" xfId="0" applyNumberFormat="1" applyFont="1" applyFill="1" applyBorder="1" applyAlignment="1">
      <alignment horizontal="center" vertical="center" wrapText="1"/>
    </xf>
    <xf numFmtId="0" fontId="143" fillId="34" borderId="40" xfId="0" applyFont="1" applyFill="1" applyBorder="1" applyAlignment="1">
      <alignment horizontal="left" vertical="center" wrapText="1"/>
    </xf>
    <xf numFmtId="1" fontId="126" fillId="34" borderId="0" xfId="0" applyNumberFormat="1" applyFont="1" applyFill="1" applyAlignment="1">
      <alignment horizontal="center" vertical="center" wrapText="1"/>
    </xf>
    <xf numFmtId="1" fontId="126" fillId="34" borderId="49" xfId="0" applyNumberFormat="1" applyFont="1" applyFill="1" applyBorder="1" applyAlignment="1">
      <alignment horizontal="center" vertical="center" wrapText="1"/>
    </xf>
    <xf numFmtId="1" fontId="126" fillId="34" borderId="46" xfId="0" applyNumberFormat="1" applyFont="1" applyFill="1" applyBorder="1" applyAlignment="1">
      <alignment horizontal="center" vertical="center" wrapText="1"/>
    </xf>
    <xf numFmtId="0" fontId="143" fillId="50" borderId="42" xfId="0" applyFont="1" applyFill="1" applyBorder="1" applyAlignment="1">
      <alignment horizontal="left" vertical="center" wrapText="1"/>
    </xf>
    <xf numFmtId="10" fontId="126" fillId="50" borderId="51" xfId="132" applyNumberFormat="1" applyFont="1" applyFill="1" applyBorder="1" applyAlignment="1">
      <alignment horizontal="center" vertical="center" wrapText="1"/>
    </xf>
    <xf numFmtId="10" fontId="126" fillId="50" borderId="50" xfId="132" applyNumberFormat="1" applyFont="1" applyFill="1" applyBorder="1" applyAlignment="1">
      <alignment horizontal="center" vertical="center" wrapText="1"/>
    </xf>
    <xf numFmtId="10" fontId="126" fillId="50" borderId="97" xfId="132" applyNumberFormat="1" applyFont="1" applyFill="1" applyBorder="1" applyAlignment="1">
      <alignment horizontal="center" vertical="center" wrapText="1"/>
    </xf>
    <xf numFmtId="10" fontId="126" fillId="50" borderId="98" xfId="132" applyNumberFormat="1" applyFont="1" applyFill="1" applyBorder="1" applyAlignment="1">
      <alignment horizontal="center" vertical="center" wrapText="1"/>
    </xf>
    <xf numFmtId="10" fontId="126" fillId="50" borderId="99" xfId="132" applyNumberFormat="1" applyFont="1" applyFill="1" applyBorder="1" applyAlignment="1">
      <alignment horizontal="center" vertical="center" wrapText="1"/>
    </xf>
    <xf numFmtId="2" fontId="126" fillId="0" borderId="97" xfId="0" applyNumberFormat="1" applyFont="1" applyBorder="1" applyAlignment="1">
      <alignment horizontal="left"/>
    </xf>
    <xf numFmtId="2" fontId="126" fillId="0" borderId="98" xfId="0" applyNumberFormat="1" applyFont="1" applyBorder="1" applyAlignment="1">
      <alignment horizontal="left"/>
    </xf>
    <xf numFmtId="2" fontId="126" fillId="0" borderId="99" xfId="0" applyNumberFormat="1" applyFont="1" applyBorder="1" applyAlignment="1">
      <alignment horizontal="left"/>
    </xf>
    <xf numFmtId="0" fontId="130" fillId="0" borderId="0" xfId="184" applyFont="1" applyAlignment="1">
      <alignment horizontal="center" vertical="center"/>
    </xf>
    <xf numFmtId="0" fontId="155" fillId="0" borderId="0" xfId="184" applyFont="1" applyAlignment="1">
      <alignment vertical="center"/>
    </xf>
    <xf numFmtId="0" fontId="115" fillId="0" borderId="0" xfId="184" applyFont="1" applyAlignment="1">
      <alignment horizontal="center" vertical="center"/>
    </xf>
    <xf numFmtId="0" fontId="143" fillId="34" borderId="0" xfId="0" applyFont="1" applyFill="1" applyAlignment="1">
      <alignment horizontal="left" vertical="center" wrapText="1"/>
    </xf>
    <xf numFmtId="1" fontId="126" fillId="34" borderId="0" xfId="132" applyNumberFormat="1" applyFont="1" applyFill="1" applyBorder="1" applyAlignment="1">
      <alignment horizontal="center" vertical="center" wrapText="1"/>
    </xf>
    <xf numFmtId="0" fontId="135" fillId="50" borderId="39" xfId="0" applyFont="1" applyFill="1" applyBorder="1" applyAlignment="1">
      <alignment vertical="center"/>
    </xf>
    <xf numFmtId="0" fontId="116" fillId="0" borderId="101" xfId="0" applyFont="1" applyBorder="1" applyAlignment="1">
      <alignment horizontal="left" vertical="center" wrapText="1"/>
    </xf>
    <xf numFmtId="1" fontId="116" fillId="34" borderId="101" xfId="0" applyNumberFormat="1" applyFont="1" applyFill="1" applyBorder="1" applyAlignment="1">
      <alignment horizontal="center" vertical="center"/>
    </xf>
    <xf numFmtId="1" fontId="116" fillId="0" borderId="101" xfId="0" applyNumberFormat="1" applyFont="1" applyBorder="1" applyAlignment="1">
      <alignment horizontal="center" vertical="center"/>
    </xf>
    <xf numFmtId="1" fontId="116" fillId="48" borderId="103" xfId="0" applyNumberFormat="1" applyFont="1" applyFill="1" applyBorder="1" applyAlignment="1">
      <alignment horizontal="center" vertical="center"/>
    </xf>
    <xf numFmtId="0" fontId="116" fillId="0" borderId="105" xfId="0" applyFont="1" applyBorder="1" applyAlignment="1">
      <alignment horizontal="left" vertical="center" wrapText="1"/>
    </xf>
    <xf numFmtId="1" fontId="116" fillId="34" borderId="105" xfId="0" applyNumberFormat="1" applyFont="1" applyFill="1" applyBorder="1" applyAlignment="1">
      <alignment horizontal="center" vertical="center"/>
    </xf>
    <xf numFmtId="1" fontId="116" fillId="0" borderId="105" xfId="0" applyNumberFormat="1" applyFont="1" applyBorder="1" applyAlignment="1">
      <alignment horizontal="center" vertical="center"/>
    </xf>
    <xf numFmtId="1" fontId="116" fillId="48" borderId="107" xfId="0" applyNumberFormat="1" applyFont="1" applyFill="1" applyBorder="1" applyAlignment="1">
      <alignment horizontal="center" vertical="center"/>
    </xf>
    <xf numFmtId="0" fontId="143" fillId="51" borderId="42" xfId="0" applyFont="1" applyFill="1" applyBorder="1" applyAlignment="1">
      <alignment horizontal="left" vertical="center" wrapText="1"/>
    </xf>
    <xf numFmtId="0" fontId="143" fillId="51" borderId="43" xfId="0" applyFont="1" applyFill="1" applyBorder="1" applyAlignment="1">
      <alignment horizontal="left" vertical="center" wrapText="1"/>
    </xf>
    <xf numFmtId="1" fontId="126" fillId="51" borderId="43" xfId="132" applyNumberFormat="1" applyFont="1" applyFill="1" applyBorder="1" applyAlignment="1">
      <alignment horizontal="center" vertical="center" wrapText="1"/>
    </xf>
    <xf numFmtId="1" fontId="126" fillId="51" borderId="51" xfId="132" applyNumberFormat="1" applyFont="1" applyFill="1" applyBorder="1" applyAlignment="1">
      <alignment horizontal="center" vertical="center" wrapText="1"/>
    </xf>
    <xf numFmtId="1" fontId="126" fillId="51" borderId="50" xfId="132" applyNumberFormat="1" applyFont="1" applyFill="1" applyBorder="1" applyAlignment="1">
      <alignment horizontal="center" vertical="center" wrapText="1"/>
    </xf>
    <xf numFmtId="0" fontId="116" fillId="51" borderId="96" xfId="0" applyFont="1" applyFill="1" applyBorder="1" applyAlignment="1">
      <alignment horizontal="left" vertical="center" wrapText="1"/>
    </xf>
    <xf numFmtId="0" fontId="143" fillId="34" borderId="97" xfId="0" applyFont="1" applyFill="1" applyBorder="1" applyAlignment="1">
      <alignment horizontal="left" vertical="center" wrapText="1"/>
    </xf>
    <xf numFmtId="1" fontId="116" fillId="34" borderId="97" xfId="0" applyNumberFormat="1" applyFont="1" applyFill="1" applyBorder="1" applyAlignment="1">
      <alignment horizontal="center" vertical="center" wrapText="1"/>
    </xf>
    <xf numFmtId="1" fontId="116" fillId="0" borderId="97" xfId="0" applyNumberFormat="1" applyFont="1" applyBorder="1" applyAlignment="1">
      <alignment horizontal="center" vertical="center" wrapText="1"/>
    </xf>
    <xf numFmtId="1" fontId="116" fillId="48" borderId="99" xfId="0" applyNumberFormat="1" applyFont="1" applyFill="1" applyBorder="1" applyAlignment="1">
      <alignment horizontal="center" vertical="center" wrapText="1"/>
    </xf>
    <xf numFmtId="0" fontId="156" fillId="0" borderId="0" xfId="0" applyFont="1" applyAlignment="1">
      <alignment horizontal="left" vertical="top" wrapText="1"/>
    </xf>
    <xf numFmtId="0" fontId="126" fillId="53" borderId="92" xfId="0" applyFont="1" applyFill="1" applyBorder="1" applyAlignment="1">
      <alignment horizontal="left" vertical="center" wrapText="1"/>
    </xf>
    <xf numFmtId="1" fontId="126" fillId="53" borderId="93" xfId="0" applyNumberFormat="1" applyFont="1" applyFill="1" applyBorder="1" applyAlignment="1">
      <alignment horizontal="center" vertical="center" wrapText="1"/>
    </xf>
    <xf numFmtId="1" fontId="126" fillId="53" borderId="94" xfId="0" applyNumberFormat="1" applyFont="1" applyFill="1" applyBorder="1" applyAlignment="1">
      <alignment horizontal="center" vertical="center" wrapText="1"/>
    </xf>
    <xf numFmtId="1" fontId="126" fillId="53" borderId="95" xfId="0" applyNumberFormat="1" applyFont="1" applyFill="1" applyBorder="1" applyAlignment="1">
      <alignment horizontal="center" vertical="center" wrapText="1"/>
    </xf>
    <xf numFmtId="0" fontId="126" fillId="53" borderId="96" xfId="0" applyFont="1" applyFill="1" applyBorder="1" applyAlignment="1">
      <alignment horizontal="left" vertical="center" wrapText="1"/>
    </xf>
    <xf numFmtId="1" fontId="126" fillId="53" borderId="97" xfId="0" applyNumberFormat="1" applyFont="1" applyFill="1" applyBorder="1" applyAlignment="1">
      <alignment horizontal="center" vertical="center" wrapText="1"/>
    </xf>
    <xf numFmtId="1" fontId="126" fillId="53" borderId="98" xfId="0" applyNumberFormat="1" applyFont="1" applyFill="1" applyBorder="1" applyAlignment="1">
      <alignment horizontal="center" vertical="center" wrapText="1"/>
    </xf>
    <xf numFmtId="0" fontId="126" fillId="53" borderId="42" xfId="0" applyFont="1" applyFill="1" applyBorder="1" applyAlignment="1">
      <alignment horizontal="left" vertical="center" wrapText="1"/>
    </xf>
    <xf numFmtId="1" fontId="126" fillId="53" borderId="43" xfId="0" applyNumberFormat="1" applyFont="1" applyFill="1" applyBorder="1" applyAlignment="1">
      <alignment horizontal="center" vertical="center" wrapText="1"/>
    </xf>
    <xf numFmtId="1" fontId="126" fillId="53" borderId="51" xfId="0" applyNumberFormat="1" applyFont="1" applyFill="1" applyBorder="1" applyAlignment="1">
      <alignment horizontal="center" vertical="center" wrapText="1"/>
    </xf>
    <xf numFmtId="1" fontId="126" fillId="53" borderId="50" xfId="0" applyNumberFormat="1" applyFont="1" applyFill="1" applyBorder="1" applyAlignment="1">
      <alignment horizontal="center" vertical="center" wrapText="1"/>
    </xf>
    <xf numFmtId="0" fontId="116" fillId="0" borderId="96" xfId="0" applyFont="1" applyBorder="1" applyAlignment="1">
      <alignment horizontal="left" vertical="center"/>
    </xf>
    <xf numFmtId="1" fontId="116" fillId="0" borderId="97" xfId="0" applyNumberFormat="1" applyFont="1" applyBorder="1" applyAlignment="1">
      <alignment horizontal="center" vertical="center"/>
    </xf>
    <xf numFmtId="1" fontId="116" fillId="34" borderId="97" xfId="0" applyNumberFormat="1" applyFont="1" applyFill="1" applyBorder="1" applyAlignment="1">
      <alignment horizontal="center" vertical="center"/>
    </xf>
    <xf numFmtId="1" fontId="116" fillId="48" borderId="99" xfId="0" applyNumberFormat="1" applyFont="1" applyFill="1" applyBorder="1" applyAlignment="1">
      <alignment horizontal="center" vertical="center"/>
    </xf>
    <xf numFmtId="0" fontId="156" fillId="0" borderId="0" xfId="184" applyFont="1" applyAlignment="1">
      <alignment horizontal="center" vertical="center"/>
    </xf>
    <xf numFmtId="0" fontId="116" fillId="0" borderId="0" xfId="0" applyFont="1" applyAlignment="1">
      <alignment horizontal="center" vertical="center"/>
    </xf>
    <xf numFmtId="1" fontId="116" fillId="34" borderId="0" xfId="132" applyNumberFormat="1" applyFont="1" applyFill="1" applyBorder="1" applyAlignment="1">
      <alignment horizontal="center" vertical="center"/>
    </xf>
    <xf numFmtId="1" fontId="126" fillId="34" borderId="0" xfId="0" applyNumberFormat="1" applyFont="1" applyFill="1" applyAlignment="1">
      <alignment vertical="center"/>
    </xf>
    <xf numFmtId="1" fontId="126" fillId="34" borderId="32" xfId="0" applyNumberFormat="1" applyFont="1" applyFill="1" applyBorder="1" applyAlignment="1">
      <alignment vertical="center"/>
    </xf>
    <xf numFmtId="169" fontId="126" fillId="37" borderId="0" xfId="132" applyNumberFormat="1" applyFont="1" applyFill="1" applyBorder="1" applyAlignment="1">
      <alignment horizontal="center" vertical="center" wrapText="1"/>
    </xf>
    <xf numFmtId="169" fontId="126" fillId="34" borderId="0" xfId="132" applyNumberFormat="1" applyFont="1" applyFill="1" applyBorder="1" applyAlignment="1">
      <alignment vertical="center"/>
    </xf>
    <xf numFmtId="9" fontId="126" fillId="37" borderId="0" xfId="132" applyFont="1" applyFill="1" applyBorder="1" applyAlignment="1">
      <alignment horizontal="center" vertical="center" wrapText="1"/>
    </xf>
    <xf numFmtId="9" fontId="126" fillId="34" borderId="0" xfId="132" applyFont="1" applyFill="1" applyBorder="1" applyAlignment="1">
      <alignment vertical="center"/>
    </xf>
    <xf numFmtId="0" fontId="126" fillId="50" borderId="13" xfId="0" applyFont="1" applyFill="1" applyBorder="1" applyAlignment="1">
      <alignment horizontal="center" vertical="center" wrapText="1"/>
    </xf>
    <xf numFmtId="3" fontId="116" fillId="48" borderId="14" xfId="0" applyNumberFormat="1" applyFont="1" applyFill="1" applyBorder="1" applyAlignment="1">
      <alignment horizontal="center" vertical="center"/>
    </xf>
    <xf numFmtId="1" fontId="116" fillId="48" borderId="14" xfId="132" applyNumberFormat="1" applyFont="1" applyFill="1" applyBorder="1" applyAlignment="1">
      <alignment horizontal="center" vertical="center"/>
    </xf>
    <xf numFmtId="1" fontId="116" fillId="48" borderId="14" xfId="0" applyNumberFormat="1" applyFont="1" applyFill="1" applyBorder="1" applyAlignment="1">
      <alignment horizontal="center" vertical="center"/>
    </xf>
    <xf numFmtId="1" fontId="126" fillId="48" borderId="29" xfId="0" applyNumberFormat="1" applyFont="1" applyFill="1" applyBorder="1" applyAlignment="1">
      <alignment horizontal="center" vertical="center"/>
    </xf>
    <xf numFmtId="1" fontId="116" fillId="48" borderId="29" xfId="0" applyNumberFormat="1" applyFont="1" applyFill="1" applyBorder="1" applyAlignment="1">
      <alignment horizontal="center" vertical="center"/>
    </xf>
    <xf numFmtId="3" fontId="126" fillId="48" borderId="29" xfId="0" applyNumberFormat="1" applyFont="1" applyFill="1" applyBorder="1" applyAlignment="1">
      <alignment horizontal="center" vertical="center"/>
    </xf>
    <xf numFmtId="169" fontId="126" fillId="48" borderId="14" xfId="132" applyNumberFormat="1" applyFont="1" applyFill="1" applyBorder="1" applyAlignment="1">
      <alignment horizontal="center" vertical="center"/>
    </xf>
    <xf numFmtId="9" fontId="126" fillId="48" borderId="14" xfId="132" applyFont="1" applyFill="1" applyBorder="1" applyAlignment="1">
      <alignment horizontal="center" vertical="center"/>
    </xf>
    <xf numFmtId="169" fontId="126" fillId="48" borderId="15" xfId="132" applyNumberFormat="1" applyFont="1" applyFill="1" applyBorder="1" applyAlignment="1">
      <alignment horizontal="center" vertical="center"/>
    </xf>
    <xf numFmtId="0" fontId="126" fillId="34" borderId="14" xfId="0" applyFont="1" applyFill="1" applyBorder="1" applyAlignment="1">
      <alignment vertical="center"/>
    </xf>
    <xf numFmtId="1" fontId="126" fillId="34" borderId="14" xfId="0" applyNumberFormat="1" applyFont="1" applyFill="1" applyBorder="1" applyAlignment="1">
      <alignment vertical="center"/>
    </xf>
    <xf numFmtId="169" fontId="126" fillId="34" borderId="14" xfId="132" applyNumberFormat="1" applyFont="1" applyFill="1" applyBorder="1" applyAlignment="1">
      <alignment vertical="center"/>
    </xf>
    <xf numFmtId="0" fontId="126" fillId="34" borderId="34" xfId="0" applyFont="1" applyFill="1" applyBorder="1" applyAlignment="1">
      <alignment vertical="center"/>
    </xf>
    <xf numFmtId="169" fontId="126" fillId="34" borderId="34" xfId="132" applyNumberFormat="1" applyFont="1" applyFill="1" applyBorder="1" applyAlignment="1">
      <alignment vertical="center"/>
    </xf>
    <xf numFmtId="1" fontId="116" fillId="37" borderId="0" xfId="0" applyNumberFormat="1" applyFont="1" applyFill="1" applyAlignment="1">
      <alignment horizontal="center" vertical="center" wrapText="1"/>
    </xf>
    <xf numFmtId="0" fontId="126" fillId="37" borderId="40" xfId="0" applyFont="1" applyFill="1" applyBorder="1" applyAlignment="1">
      <alignment horizontal="left" vertical="center" wrapText="1"/>
    </xf>
    <xf numFmtId="1" fontId="126" fillId="37" borderId="0" xfId="0" applyNumberFormat="1" applyFont="1" applyFill="1" applyAlignment="1">
      <alignment horizontal="center" vertical="center" wrapText="1"/>
    </xf>
    <xf numFmtId="169" fontId="126" fillId="37" borderId="43" xfId="132" applyNumberFormat="1" applyFont="1" applyFill="1" applyBorder="1" applyAlignment="1">
      <alignment horizontal="center" vertical="center" wrapText="1"/>
    </xf>
    <xf numFmtId="0" fontId="126" fillId="37" borderId="96" xfId="0" applyFont="1" applyFill="1" applyBorder="1" applyAlignment="1">
      <alignment horizontal="left" vertical="center" wrapText="1"/>
    </xf>
    <xf numFmtId="3" fontId="126" fillId="37" borderId="97" xfId="0" applyNumberFormat="1" applyFont="1" applyFill="1" applyBorder="1" applyAlignment="1">
      <alignment horizontal="center" vertical="center" wrapText="1"/>
    </xf>
    <xf numFmtId="1" fontId="126" fillId="37" borderId="97" xfId="0" applyNumberFormat="1" applyFont="1" applyFill="1" applyBorder="1" applyAlignment="1">
      <alignment horizontal="center" vertical="center" wrapText="1"/>
    </xf>
    <xf numFmtId="0" fontId="126" fillId="34" borderId="96" xfId="0" applyFont="1" applyFill="1" applyBorder="1" applyAlignment="1">
      <alignment horizontal="left" vertical="center" wrapText="1"/>
    </xf>
    <xf numFmtId="3" fontId="126" fillId="0" borderId="97" xfId="0" applyNumberFormat="1" applyFont="1" applyBorder="1" applyAlignment="1">
      <alignment horizontal="center" vertical="center"/>
    </xf>
    <xf numFmtId="3" fontId="126" fillId="48" borderId="99" xfId="0" applyNumberFormat="1" applyFont="1" applyFill="1" applyBorder="1" applyAlignment="1">
      <alignment horizontal="center" vertical="center"/>
    </xf>
    <xf numFmtId="1" fontId="116" fillId="34" borderId="49" xfId="132" applyNumberFormat="1" applyFont="1" applyFill="1" applyBorder="1" applyAlignment="1">
      <alignment horizontal="center" vertical="center"/>
    </xf>
    <xf numFmtId="3" fontId="126" fillId="0" borderId="98" xfId="0" applyNumberFormat="1" applyFont="1" applyBorder="1" applyAlignment="1">
      <alignment horizontal="center" vertical="center"/>
    </xf>
    <xf numFmtId="1" fontId="116" fillId="37" borderId="49" xfId="0" applyNumberFormat="1" applyFont="1" applyFill="1" applyBorder="1" applyAlignment="1">
      <alignment horizontal="center" vertical="center" wrapText="1"/>
    </xf>
    <xf numFmtId="1" fontId="126" fillId="37" borderId="98" xfId="0" applyNumberFormat="1" applyFont="1" applyFill="1" applyBorder="1" applyAlignment="1">
      <alignment horizontal="center" vertical="center" wrapText="1"/>
    </xf>
    <xf numFmtId="1" fontId="126" fillId="37" borderId="49" xfId="0" applyNumberFormat="1" applyFont="1" applyFill="1" applyBorder="1" applyAlignment="1">
      <alignment horizontal="center" vertical="center" wrapText="1"/>
    </xf>
    <xf numFmtId="3" fontId="126" fillId="37" borderId="98" xfId="0" applyNumberFormat="1" applyFont="1" applyFill="1" applyBorder="1" applyAlignment="1">
      <alignment horizontal="center" vertical="center" wrapText="1"/>
    </xf>
    <xf numFmtId="169" fontId="126" fillId="37" borderId="49" xfId="132" applyNumberFormat="1" applyFont="1" applyFill="1" applyBorder="1" applyAlignment="1">
      <alignment horizontal="center" vertical="center" wrapText="1"/>
    </xf>
    <xf numFmtId="9" fontId="126" fillId="37" borderId="49" xfId="132" applyFont="1" applyFill="1" applyBorder="1" applyAlignment="1">
      <alignment horizontal="center" vertical="center" wrapText="1"/>
    </xf>
    <xf numFmtId="169" fontId="126" fillId="37" borderId="51" xfId="132" applyNumberFormat="1" applyFont="1" applyFill="1" applyBorder="1" applyAlignment="1">
      <alignment horizontal="center" vertical="center" wrapText="1"/>
    </xf>
    <xf numFmtId="0" fontId="122" fillId="0" borderId="0" xfId="186" applyFont="1"/>
    <xf numFmtId="0" fontId="118" fillId="0" borderId="0" xfId="39" applyFont="1" applyBorder="1" applyAlignment="1" applyProtection="1">
      <alignment horizontal="right"/>
    </xf>
    <xf numFmtId="0" fontId="121" fillId="0" borderId="0" xfId="186" applyFont="1"/>
    <xf numFmtId="0" fontId="125" fillId="0" borderId="0" xfId="186" applyFont="1" applyAlignment="1">
      <alignment horizontal="center" vertical="center" wrapText="1"/>
    </xf>
    <xf numFmtId="0" fontId="157" fillId="34" borderId="0" xfId="186" applyFont="1" applyFill="1"/>
    <xf numFmtId="0" fontId="117" fillId="0" borderId="0" xfId="186" applyFont="1"/>
    <xf numFmtId="9" fontId="121" fillId="0" borderId="0" xfId="132" applyFont="1" applyAlignment="1">
      <alignment horizontal="left" vertical="center"/>
    </xf>
    <xf numFmtId="3" fontId="126" fillId="34" borderId="0" xfId="186" applyNumberFormat="1" applyFont="1" applyFill="1" applyAlignment="1">
      <alignment horizontal="center"/>
    </xf>
    <xf numFmtId="3" fontId="116" fillId="34" borderId="0" xfId="186" applyNumberFormat="1" applyFont="1" applyFill="1" applyAlignment="1">
      <alignment horizontal="center"/>
    </xf>
    <xf numFmtId="9" fontId="115" fillId="0" borderId="0" xfId="132" applyFont="1" applyAlignment="1">
      <alignment horizontal="left" vertical="center"/>
    </xf>
    <xf numFmtId="0" fontId="134" fillId="50" borderId="38" xfId="186" applyFont="1" applyFill="1" applyBorder="1" applyAlignment="1">
      <alignment horizontal="left" vertical="center"/>
    </xf>
    <xf numFmtId="173" fontId="126" fillId="50" borderId="39" xfId="186" applyNumberFormat="1" applyFont="1" applyFill="1" applyBorder="1" applyAlignment="1">
      <alignment horizontal="center" vertical="center" wrapText="1"/>
    </xf>
    <xf numFmtId="173" fontId="126" fillId="50" borderId="45" xfId="186" applyNumberFormat="1" applyFont="1" applyFill="1" applyBorder="1" applyAlignment="1">
      <alignment horizontal="center" vertical="center" wrapText="1"/>
    </xf>
    <xf numFmtId="0" fontId="134" fillId="34" borderId="40" xfId="186" applyFont="1" applyFill="1" applyBorder="1"/>
    <xf numFmtId="3" fontId="126" fillId="0" borderId="0" xfId="186" applyNumberFormat="1" applyFont="1" applyAlignment="1">
      <alignment horizontal="center"/>
    </xf>
    <xf numFmtId="3" fontId="126" fillId="48" borderId="46" xfId="186" applyNumberFormat="1" applyFont="1" applyFill="1" applyBorder="1" applyAlignment="1">
      <alignment horizontal="center"/>
    </xf>
    <xf numFmtId="0" fontId="126" fillId="34" borderId="40" xfId="186" applyFont="1" applyFill="1" applyBorder="1"/>
    <xf numFmtId="0" fontId="116" fillId="34" borderId="40" xfId="186" applyFont="1" applyFill="1" applyBorder="1"/>
    <xf numFmtId="3" fontId="116" fillId="0" borderId="0" xfId="186" applyNumberFormat="1" applyFont="1" applyAlignment="1">
      <alignment horizontal="center"/>
    </xf>
    <xf numFmtId="3" fontId="116" fillId="48" borderId="46" xfId="186" applyNumberFormat="1" applyFont="1" applyFill="1" applyBorder="1" applyAlignment="1">
      <alignment horizontal="center"/>
    </xf>
    <xf numFmtId="0" fontId="126" fillId="34" borderId="42" xfId="186" applyFont="1" applyFill="1" applyBorder="1"/>
    <xf numFmtId="169" fontId="126" fillId="34" borderId="43" xfId="132" applyNumberFormat="1" applyFont="1" applyFill="1" applyBorder="1" applyAlignment="1">
      <alignment horizontal="center"/>
    </xf>
    <xf numFmtId="169" fontId="126" fillId="0" borderId="43" xfId="132" applyNumberFormat="1" applyFont="1" applyFill="1" applyBorder="1" applyAlignment="1">
      <alignment horizontal="center"/>
    </xf>
    <xf numFmtId="169" fontId="126" fillId="48" borderId="50" xfId="132" applyNumberFormat="1" applyFont="1" applyFill="1" applyBorder="1" applyAlignment="1">
      <alignment horizontal="center"/>
    </xf>
    <xf numFmtId="173" fontId="126" fillId="50" borderId="48" xfId="186" applyNumberFormat="1" applyFont="1" applyFill="1" applyBorder="1" applyAlignment="1">
      <alignment horizontal="center" vertical="center" wrapText="1"/>
    </xf>
    <xf numFmtId="0" fontId="120" fillId="0" borderId="0" xfId="39" applyFont="1" applyBorder="1" applyAlignment="1" applyProtection="1">
      <alignment horizontal="right"/>
    </xf>
    <xf numFmtId="169" fontId="126" fillId="34" borderId="0" xfId="132" applyNumberFormat="1" applyFont="1" applyFill="1" applyBorder="1" applyAlignment="1">
      <alignment horizontal="center"/>
    </xf>
    <xf numFmtId="169" fontId="126" fillId="0" borderId="0" xfId="132" applyNumberFormat="1" applyFont="1" applyFill="1" applyBorder="1" applyAlignment="1">
      <alignment horizontal="center"/>
    </xf>
    <xf numFmtId="169" fontId="116" fillId="34" borderId="0" xfId="132" applyNumberFormat="1" applyFont="1" applyFill="1" applyBorder="1" applyAlignment="1">
      <alignment horizontal="center"/>
    </xf>
    <xf numFmtId="169" fontId="116" fillId="0" borderId="0" xfId="132" applyNumberFormat="1" applyFont="1" applyFill="1" applyBorder="1" applyAlignment="1">
      <alignment horizontal="center"/>
    </xf>
    <xf numFmtId="0" fontId="158" fillId="34" borderId="0" xfId="186" applyFont="1" applyFill="1"/>
    <xf numFmtId="0" fontId="116" fillId="0" borderId="0" xfId="186" applyFont="1"/>
    <xf numFmtId="0" fontId="126" fillId="0" borderId="0" xfId="186" applyFont="1" applyAlignment="1">
      <alignment horizontal="center" vertical="center" wrapText="1"/>
    </xf>
    <xf numFmtId="0" fontId="116" fillId="34" borderId="40" xfId="186" applyFont="1" applyFill="1" applyBorder="1" applyAlignment="1">
      <alignment horizontal="left" vertical="center"/>
    </xf>
    <xf numFmtId="0" fontId="126" fillId="34" borderId="40" xfId="186" applyFont="1" applyFill="1" applyBorder="1" applyAlignment="1">
      <alignment horizontal="left" vertical="center"/>
    </xf>
    <xf numFmtId="169" fontId="126" fillId="48" borderId="46" xfId="132" applyNumberFormat="1" applyFont="1" applyFill="1" applyBorder="1" applyAlignment="1">
      <alignment horizontal="center"/>
    </xf>
    <xf numFmtId="169" fontId="116" fillId="48" borderId="46" xfId="132" applyNumberFormat="1" applyFont="1" applyFill="1" applyBorder="1" applyAlignment="1">
      <alignment horizontal="center"/>
    </xf>
    <xf numFmtId="0" fontId="134" fillId="0" borderId="40" xfId="186" applyFont="1" applyBorder="1"/>
    <xf numFmtId="0" fontId="126" fillId="0" borderId="40" xfId="186" applyFont="1" applyBorder="1"/>
    <xf numFmtId="0" fontId="116" fillId="0" borderId="40" xfId="186" applyFont="1" applyBorder="1"/>
    <xf numFmtId="0" fontId="116" fillId="34" borderId="0" xfId="186" applyFont="1" applyFill="1"/>
    <xf numFmtId="0" fontId="155" fillId="0" borderId="0" xfId="184" applyFont="1"/>
    <xf numFmtId="174" fontId="155" fillId="0" borderId="0" xfId="184" applyNumberFormat="1" applyFont="1"/>
    <xf numFmtId="0" fontId="159" fillId="0" borderId="0" xfId="184" applyFont="1"/>
    <xf numFmtId="174" fontId="159" fillId="0" borderId="0" xfId="184" applyNumberFormat="1" applyFont="1"/>
    <xf numFmtId="0" fontId="116" fillId="34" borderId="42" xfId="186" applyFont="1" applyFill="1" applyBorder="1" applyAlignment="1">
      <alignment horizontal="left" vertical="center"/>
    </xf>
    <xf numFmtId="3" fontId="116" fillId="34" borderId="43" xfId="186" applyNumberFormat="1" applyFont="1" applyFill="1" applyBorder="1" applyAlignment="1">
      <alignment horizontal="center"/>
    </xf>
    <xf numFmtId="3" fontId="116" fillId="0" borderId="43" xfId="186" applyNumberFormat="1" applyFont="1" applyBorder="1" applyAlignment="1">
      <alignment horizontal="center"/>
    </xf>
    <xf numFmtId="3" fontId="116" fillId="48" borderId="50" xfId="186" applyNumberFormat="1" applyFont="1" applyFill="1" applyBorder="1" applyAlignment="1">
      <alignment horizontal="center"/>
    </xf>
    <xf numFmtId="3" fontId="126" fillId="36" borderId="0" xfId="186" applyNumberFormat="1" applyFont="1" applyFill="1" applyAlignment="1">
      <alignment horizontal="center"/>
    </xf>
    <xf numFmtId="0" fontId="126" fillId="36" borderId="0" xfId="186" applyFont="1" applyFill="1" applyAlignment="1">
      <alignment horizontal="center"/>
    </xf>
    <xf numFmtId="3" fontId="116" fillId="36" borderId="0" xfId="186" applyNumberFormat="1" applyFont="1" applyFill="1" applyAlignment="1">
      <alignment horizontal="center"/>
    </xf>
    <xf numFmtId="0" fontId="158" fillId="0" borderId="0" xfId="186" applyFont="1"/>
    <xf numFmtId="0" fontId="126" fillId="50" borderId="38" xfId="186" applyFont="1" applyFill="1" applyBorder="1" applyAlignment="1">
      <alignment horizontal="left" vertical="center"/>
    </xf>
    <xf numFmtId="3" fontId="126" fillId="54" borderId="46" xfId="186" applyNumberFormat="1" applyFont="1" applyFill="1" applyBorder="1" applyAlignment="1">
      <alignment horizontal="center"/>
    </xf>
    <xf numFmtId="0" fontId="126" fillId="0" borderId="0" xfId="186" applyFont="1" applyAlignment="1">
      <alignment horizontal="center"/>
    </xf>
    <xf numFmtId="0" fontId="126" fillId="54" borderId="46" xfId="186" applyFont="1" applyFill="1" applyBorder="1" applyAlignment="1">
      <alignment horizontal="center"/>
    </xf>
    <xf numFmtId="0" fontId="126" fillId="0" borderId="40" xfId="186" applyFont="1" applyBorder="1" applyAlignment="1">
      <alignment horizontal="left" vertical="center"/>
    </xf>
    <xf numFmtId="0" fontId="116" fillId="0" borderId="40" xfId="186" applyFont="1" applyBorder="1" applyAlignment="1">
      <alignment horizontal="left" vertical="center" indent="1"/>
    </xf>
    <xf numFmtId="3" fontId="116" fillId="54" borderId="46" xfId="186" applyNumberFormat="1" applyFont="1" applyFill="1" applyBorder="1" applyAlignment="1">
      <alignment horizontal="center"/>
    </xf>
    <xf numFmtId="0" fontId="126" fillId="0" borderId="42" xfId="186" applyFont="1" applyBorder="1"/>
    <xf numFmtId="194" fontId="126" fillId="34" borderId="43" xfId="353" applyNumberFormat="1" applyFont="1" applyFill="1" applyBorder="1" applyAlignment="1">
      <alignment horizontal="center"/>
    </xf>
    <xf numFmtId="194" fontId="126" fillId="0" borderId="43" xfId="353" applyNumberFormat="1" applyFont="1" applyFill="1" applyBorder="1" applyAlignment="1">
      <alignment horizontal="center"/>
    </xf>
    <xf numFmtId="194" fontId="126" fillId="48" borderId="50" xfId="353" applyNumberFormat="1" applyFont="1" applyFill="1" applyBorder="1" applyAlignment="1">
      <alignment horizontal="center"/>
    </xf>
    <xf numFmtId="0" fontId="161" fillId="0" borderId="0" xfId="186" applyFont="1"/>
    <xf numFmtId="0" fontId="162" fillId="0" borderId="0" xfId="39" applyFont="1" applyBorder="1" applyAlignment="1" applyProtection="1">
      <alignment horizontal="right"/>
    </xf>
    <xf numFmtId="0" fontId="163" fillId="0" borderId="0" xfId="184" applyFont="1" applyAlignment="1">
      <alignment horizontal="center" vertical="center"/>
    </xf>
    <xf numFmtId="0" fontId="160" fillId="0" borderId="0" xfId="186" applyFont="1"/>
    <xf numFmtId="0" fontId="160" fillId="0" borderId="0" xfId="186" applyFont="1" applyAlignment="1">
      <alignment horizontal="center" vertical="center" wrapText="1"/>
    </xf>
    <xf numFmtId="0" fontId="115" fillId="34" borderId="0" xfId="0" applyFont="1" applyFill="1"/>
    <xf numFmtId="179" fontId="160" fillId="34" borderId="0" xfId="186" applyNumberFormat="1" applyFont="1" applyFill="1" applyAlignment="1">
      <alignment horizontal="left" vertical="center" wrapText="1"/>
    </xf>
    <xf numFmtId="3" fontId="160" fillId="34" borderId="0" xfId="186" applyNumberFormat="1" applyFont="1" applyFill="1" applyAlignment="1">
      <alignment horizontal="center"/>
    </xf>
    <xf numFmtId="179" fontId="164" fillId="34" borderId="0" xfId="186" applyNumberFormat="1" applyFont="1" applyFill="1" applyAlignment="1">
      <alignment horizontal="left" vertical="center" wrapText="1"/>
    </xf>
    <xf numFmtId="169" fontId="164" fillId="34" borderId="0" xfId="132" applyNumberFormat="1" applyFont="1" applyFill="1" applyBorder="1" applyAlignment="1">
      <alignment horizontal="center"/>
    </xf>
    <xf numFmtId="169" fontId="115" fillId="34" borderId="0" xfId="0" applyNumberFormat="1" applyFont="1" applyFill="1"/>
    <xf numFmtId="173" fontId="164" fillId="48" borderId="0" xfId="186" applyNumberFormat="1" applyFont="1" applyFill="1" applyAlignment="1">
      <alignment horizontal="center" vertical="center" wrapText="1"/>
    </xf>
    <xf numFmtId="0" fontId="115" fillId="34" borderId="49" xfId="0" applyFont="1" applyFill="1" applyBorder="1"/>
    <xf numFmtId="173" fontId="164" fillId="48" borderId="49" xfId="186" applyNumberFormat="1" applyFont="1" applyFill="1" applyBorder="1" applyAlignment="1">
      <alignment horizontal="center" vertical="center" wrapText="1"/>
    </xf>
    <xf numFmtId="3" fontId="160" fillId="34" borderId="49" xfId="186" applyNumberFormat="1" applyFont="1" applyFill="1" applyBorder="1" applyAlignment="1">
      <alignment horizontal="center"/>
    </xf>
    <xf numFmtId="169" fontId="164" fillId="34" borderId="49" xfId="132" applyNumberFormat="1" applyFont="1" applyFill="1" applyBorder="1" applyAlignment="1">
      <alignment horizontal="center"/>
    </xf>
    <xf numFmtId="169" fontId="115" fillId="34" borderId="49" xfId="0" applyNumberFormat="1" applyFont="1" applyFill="1" applyBorder="1"/>
    <xf numFmtId="0" fontId="160" fillId="0" borderId="49" xfId="186" applyFont="1" applyBorder="1"/>
    <xf numFmtId="0" fontId="115" fillId="34" borderId="0" xfId="0" applyFont="1" applyFill="1" applyAlignment="1">
      <alignment horizontal="center"/>
    </xf>
    <xf numFmtId="0" fontId="115" fillId="34" borderId="49" xfId="0" applyFont="1" applyFill="1" applyBorder="1" applyAlignment="1">
      <alignment horizontal="center"/>
    </xf>
    <xf numFmtId="179" fontId="160" fillId="34" borderId="39" xfId="186" applyNumberFormat="1" applyFont="1" applyFill="1" applyBorder="1" applyAlignment="1">
      <alignment horizontal="left" vertical="center" wrapText="1"/>
    </xf>
    <xf numFmtId="3" fontId="160" fillId="34" borderId="39" xfId="186" applyNumberFormat="1" applyFont="1" applyFill="1" applyBorder="1" applyAlignment="1">
      <alignment horizontal="center"/>
    </xf>
    <xf numFmtId="3" fontId="160" fillId="34" borderId="48" xfId="186" applyNumberFormat="1" applyFont="1" applyFill="1" applyBorder="1" applyAlignment="1">
      <alignment horizontal="center"/>
    </xf>
    <xf numFmtId="173" fontId="164" fillId="48" borderId="0" xfId="186" applyNumberFormat="1" applyFont="1" applyFill="1" applyAlignment="1">
      <alignment horizontal="left" vertical="center" wrapText="1"/>
    </xf>
    <xf numFmtId="179" fontId="164" fillId="34" borderId="43" xfId="186" applyNumberFormat="1" applyFont="1" applyFill="1" applyBorder="1" applyAlignment="1">
      <alignment horizontal="left" vertical="center" wrapText="1"/>
    </xf>
    <xf numFmtId="0" fontId="115" fillId="34" borderId="43" xfId="0" applyFont="1" applyFill="1" applyBorder="1"/>
    <xf numFmtId="0" fontId="115" fillId="34" borderId="51" xfId="0" applyFont="1" applyFill="1" applyBorder="1"/>
    <xf numFmtId="173" fontId="143" fillId="50" borderId="39" xfId="186" applyNumberFormat="1" applyFont="1" applyFill="1" applyBorder="1" applyAlignment="1">
      <alignment horizontal="center" vertical="center" wrapText="1"/>
    </xf>
    <xf numFmtId="0" fontId="122" fillId="0" borderId="0" xfId="186" applyFont="1" applyAlignment="1">
      <alignment horizontal="center"/>
    </xf>
    <xf numFmtId="0" fontId="120" fillId="0" borderId="0" xfId="39" applyFont="1" applyBorder="1" applyAlignment="1" applyProtection="1">
      <alignment horizontal="center"/>
    </xf>
    <xf numFmtId="0" fontId="121" fillId="0" borderId="0" xfId="186" applyFont="1" applyAlignment="1">
      <alignment horizontal="center"/>
    </xf>
    <xf numFmtId="0" fontId="164" fillId="50" borderId="38" xfId="186" applyFont="1" applyFill="1" applyBorder="1" applyAlignment="1">
      <alignment horizontal="left" vertical="center"/>
    </xf>
    <xf numFmtId="173" fontId="164" fillId="50" borderId="39" xfId="186" applyNumberFormat="1" applyFont="1" applyFill="1" applyBorder="1" applyAlignment="1">
      <alignment horizontal="center" vertical="center" wrapText="1"/>
    </xf>
    <xf numFmtId="173" fontId="164" fillId="50" borderId="45" xfId="186" applyNumberFormat="1" applyFont="1" applyFill="1" applyBorder="1" applyAlignment="1">
      <alignment horizontal="center" vertical="center" wrapText="1"/>
    </xf>
    <xf numFmtId="0" fontId="116" fillId="0" borderId="0" xfId="186" applyFont="1" applyAlignment="1">
      <alignment horizontal="center"/>
    </xf>
    <xf numFmtId="0" fontId="121" fillId="0" borderId="0" xfId="0" applyFont="1"/>
    <xf numFmtId="0" fontId="115" fillId="0" borderId="0" xfId="0" applyFont="1"/>
    <xf numFmtId="3" fontId="116" fillId="34" borderId="0" xfId="0" applyNumberFormat="1" applyFont="1" applyFill="1" applyAlignment="1">
      <alignment horizontal="center" vertical="center" wrapText="1"/>
    </xf>
    <xf numFmtId="3" fontId="160" fillId="34" borderId="0" xfId="0" applyNumberFormat="1" applyFont="1" applyFill="1" applyAlignment="1">
      <alignment horizontal="center" vertical="center"/>
    </xf>
    <xf numFmtId="0" fontId="135" fillId="0" borderId="0" xfId="0" applyFont="1" applyAlignment="1">
      <alignment vertical="center" wrapText="1"/>
    </xf>
    <xf numFmtId="3" fontId="115" fillId="34" borderId="0" xfId="0" applyNumberFormat="1" applyFont="1" applyFill="1" applyAlignment="1">
      <alignment vertical="center"/>
    </xf>
    <xf numFmtId="0" fontId="116" fillId="0" borderId="0" xfId="0" applyFont="1"/>
    <xf numFmtId="3" fontId="116" fillId="0" borderId="0" xfId="0" applyNumberFormat="1" applyFont="1"/>
    <xf numFmtId="4" fontId="116" fillId="34" borderId="0" xfId="0" applyNumberFormat="1" applyFont="1" applyFill="1" applyAlignment="1">
      <alignment horizontal="center" vertical="center"/>
    </xf>
    <xf numFmtId="0" fontId="116" fillId="34" borderId="0" xfId="0" applyFont="1" applyFill="1" applyAlignment="1">
      <alignment horizontal="center" vertical="center" wrapText="1"/>
    </xf>
    <xf numFmtId="0" fontId="134" fillId="50" borderId="38" xfId="0" applyFont="1" applyFill="1" applyBorder="1" applyAlignment="1">
      <alignment vertical="center" wrapText="1"/>
    </xf>
    <xf numFmtId="0" fontId="116" fillId="0" borderId="0" xfId="0" applyFont="1" applyAlignment="1">
      <alignment horizontal="center" vertical="center" wrapText="1"/>
    </xf>
    <xf numFmtId="0" fontId="116" fillId="48" borderId="46" xfId="0" applyFont="1" applyFill="1" applyBorder="1" applyAlignment="1">
      <alignment horizontal="center" vertical="center" wrapText="1"/>
    </xf>
    <xf numFmtId="0" fontId="116" fillId="0" borderId="42" xfId="0" applyFont="1" applyBorder="1" applyAlignment="1">
      <alignment horizontal="left" vertical="center"/>
    </xf>
    <xf numFmtId="0" fontId="116" fillId="34" borderId="43" xfId="0" applyFont="1" applyFill="1" applyBorder="1" applyAlignment="1">
      <alignment horizontal="center" vertical="center" wrapText="1"/>
    </xf>
    <xf numFmtId="0" fontId="116" fillId="0" borderId="43" xfId="0" applyFont="1" applyBorder="1" applyAlignment="1">
      <alignment horizontal="center" vertical="center" wrapText="1"/>
    </xf>
    <xf numFmtId="4" fontId="116" fillId="0" borderId="0" xfId="0" applyNumberFormat="1" applyFont="1" applyAlignment="1">
      <alignment horizontal="center" vertical="center"/>
    </xf>
    <xf numFmtId="4" fontId="116" fillId="48" borderId="46" xfId="0" applyNumberFormat="1" applyFont="1" applyFill="1" applyBorder="1" applyAlignment="1">
      <alignment horizontal="center" vertical="center"/>
    </xf>
    <xf numFmtId="0" fontId="116" fillId="34" borderId="42" xfId="0" applyFont="1" applyFill="1" applyBorder="1" applyAlignment="1">
      <alignment horizontal="left" vertical="center" wrapText="1"/>
    </xf>
    <xf numFmtId="199" fontId="116" fillId="34" borderId="43" xfId="0" applyNumberFormat="1" applyFont="1" applyFill="1" applyBorder="1" applyAlignment="1">
      <alignment horizontal="center" vertical="center"/>
    </xf>
    <xf numFmtId="199" fontId="116" fillId="0" borderId="43" xfId="0" applyNumberFormat="1" applyFont="1" applyBorder="1" applyAlignment="1">
      <alignment horizontal="center" vertical="center"/>
    </xf>
    <xf numFmtId="199" fontId="116" fillId="48" borderId="50" xfId="0" applyNumberFormat="1" applyFont="1" applyFill="1" applyBorder="1" applyAlignment="1">
      <alignment horizontal="center" vertical="center"/>
    </xf>
    <xf numFmtId="0" fontId="116" fillId="0" borderId="40" xfId="0" applyFont="1" applyBorder="1" applyAlignment="1">
      <alignment vertical="center" wrapText="1"/>
    </xf>
    <xf numFmtId="0" fontId="116" fillId="0" borderId="42" xfId="0" applyFont="1" applyBorder="1" applyAlignment="1">
      <alignment vertical="center" wrapText="1"/>
    </xf>
    <xf numFmtId="3" fontId="116" fillId="34" borderId="43" xfId="0" applyNumberFormat="1" applyFont="1" applyFill="1" applyBorder="1" applyAlignment="1">
      <alignment horizontal="center" vertical="center"/>
    </xf>
    <xf numFmtId="3" fontId="116" fillId="0" borderId="43" xfId="0" applyNumberFormat="1" applyFont="1" applyBorder="1" applyAlignment="1">
      <alignment horizontal="center" vertical="center"/>
    </xf>
    <xf numFmtId="3" fontId="116" fillId="48" borderId="50" xfId="0" applyNumberFormat="1" applyFont="1" applyFill="1" applyBorder="1" applyAlignment="1">
      <alignment horizontal="center" vertical="center"/>
    </xf>
    <xf numFmtId="0" fontId="126" fillId="0" borderId="40" xfId="0" applyFont="1" applyBorder="1" applyAlignment="1">
      <alignment horizontal="left" vertical="center" indent="2"/>
    </xf>
    <xf numFmtId="3" fontId="116" fillId="0" borderId="0" xfId="0" applyNumberFormat="1" applyFont="1" applyAlignment="1">
      <alignment horizontal="center" vertical="center" wrapText="1"/>
    </xf>
    <xf numFmtId="3" fontId="116" fillId="48" borderId="46" xfId="0" applyNumberFormat="1" applyFont="1" applyFill="1" applyBorder="1" applyAlignment="1">
      <alignment horizontal="center" vertical="center" wrapText="1"/>
    </xf>
    <xf numFmtId="3" fontId="116" fillId="34" borderId="43" xfId="0" applyNumberFormat="1" applyFont="1" applyFill="1" applyBorder="1" applyAlignment="1">
      <alignment horizontal="center" vertical="center" wrapText="1"/>
    </xf>
    <xf numFmtId="3" fontId="116" fillId="0" borderId="43" xfId="0" applyNumberFormat="1" applyFont="1" applyBorder="1" applyAlignment="1">
      <alignment horizontal="center" vertical="center" wrapText="1"/>
    </xf>
    <xf numFmtId="3" fontId="116" fillId="48" borderId="50" xfId="0" applyNumberFormat="1" applyFont="1" applyFill="1" applyBorder="1" applyAlignment="1">
      <alignment horizontal="center" vertical="center" wrapText="1"/>
    </xf>
    <xf numFmtId="0" fontId="126" fillId="0" borderId="100" xfId="0" applyFont="1" applyBorder="1" applyAlignment="1">
      <alignment horizontal="left" vertical="center"/>
    </xf>
    <xf numFmtId="3" fontId="126" fillId="34" borderId="101" xfId="0" applyNumberFormat="1" applyFont="1" applyFill="1" applyBorder="1" applyAlignment="1">
      <alignment horizontal="center" vertical="center"/>
    </xf>
    <xf numFmtId="3" fontId="126" fillId="0" borderId="101" xfId="0" applyNumberFormat="1" applyFont="1" applyBorder="1" applyAlignment="1">
      <alignment horizontal="center" vertical="center"/>
    </xf>
    <xf numFmtId="0" fontId="116" fillId="0" borderId="104" xfId="0" applyFont="1" applyBorder="1" applyAlignment="1">
      <alignment horizontal="left" vertical="center" indent="4"/>
    </xf>
    <xf numFmtId="3" fontId="116" fillId="34" borderId="105" xfId="0" applyNumberFormat="1" applyFont="1" applyFill="1" applyBorder="1" applyAlignment="1">
      <alignment horizontal="center" vertical="center"/>
    </xf>
    <xf numFmtId="3" fontId="116" fillId="0" borderId="105" xfId="0" applyNumberFormat="1" applyFont="1" applyBorder="1" applyAlignment="1">
      <alignment horizontal="center" vertical="center"/>
    </xf>
    <xf numFmtId="3" fontId="116" fillId="48" borderId="107" xfId="0" applyNumberFormat="1" applyFont="1" applyFill="1" applyBorder="1" applyAlignment="1">
      <alignment horizontal="center" vertical="center"/>
    </xf>
    <xf numFmtId="0" fontId="160" fillId="0" borderId="42" xfId="0" applyFont="1" applyBorder="1" applyAlignment="1">
      <alignment horizontal="left" vertical="center" indent="2"/>
    </xf>
    <xf numFmtId="0" fontId="160" fillId="0" borderId="40" xfId="0" applyFont="1" applyBorder="1" applyAlignment="1">
      <alignment horizontal="left" vertical="center" indent="2"/>
    </xf>
    <xf numFmtId="0" fontId="126" fillId="0" borderId="42" xfId="0" applyFont="1" applyBorder="1" applyAlignment="1">
      <alignment horizontal="left" vertical="center" indent="2"/>
    </xf>
    <xf numFmtId="0" fontId="126" fillId="0" borderId="96" xfId="0" applyFont="1" applyBorder="1" applyAlignment="1">
      <alignment horizontal="left" vertical="center" indent="2"/>
    </xf>
    <xf numFmtId="3" fontId="126" fillId="34" borderId="97" xfId="0" applyNumberFormat="1" applyFont="1" applyFill="1" applyBorder="1" applyAlignment="1">
      <alignment horizontal="center" vertical="center"/>
    </xf>
    <xf numFmtId="3" fontId="116" fillId="51" borderId="14" xfId="0" applyNumberFormat="1" applyFont="1" applyFill="1" applyBorder="1" applyAlignment="1">
      <alignment horizontal="center" vertical="center"/>
    </xf>
    <xf numFmtId="3" fontId="126" fillId="51" borderId="29" xfId="0" applyNumberFormat="1" applyFont="1" applyFill="1" applyBorder="1" applyAlignment="1">
      <alignment horizontal="center" vertical="center"/>
    </xf>
    <xf numFmtId="1" fontId="116" fillId="51" borderId="14" xfId="0" applyNumberFormat="1" applyFont="1" applyFill="1" applyBorder="1" applyAlignment="1">
      <alignment horizontal="center" vertical="center"/>
    </xf>
    <xf numFmtId="1" fontId="116" fillId="51" borderId="29" xfId="0" applyNumberFormat="1" applyFont="1" applyFill="1" applyBorder="1" applyAlignment="1">
      <alignment horizontal="center" vertical="center"/>
    </xf>
    <xf numFmtId="169" fontId="126" fillId="51" borderId="14" xfId="132" applyNumberFormat="1" applyFont="1" applyFill="1" applyBorder="1" applyAlignment="1">
      <alignment horizontal="center" vertical="center"/>
    </xf>
    <xf numFmtId="9" fontId="126" fillId="51" borderId="14" xfId="132" applyFont="1" applyFill="1" applyBorder="1" applyAlignment="1">
      <alignment horizontal="center" vertical="center"/>
    </xf>
    <xf numFmtId="169" fontId="126" fillId="51" borderId="15" xfId="132" applyNumberFormat="1" applyFont="1" applyFill="1" applyBorder="1" applyAlignment="1">
      <alignment horizontal="center" vertical="center"/>
    </xf>
    <xf numFmtId="3" fontId="126" fillId="48" borderId="103" xfId="0" applyNumberFormat="1" applyFont="1" applyFill="1" applyBorder="1" applyAlignment="1">
      <alignment horizontal="center" vertical="center"/>
    </xf>
    <xf numFmtId="3" fontId="50" fillId="0" borderId="0" xfId="0" applyNumberFormat="1" applyFont="1" applyAlignment="1">
      <alignment vertical="center"/>
    </xf>
    <xf numFmtId="9" fontId="166" fillId="0" borderId="40" xfId="132" applyFont="1" applyFill="1" applyBorder="1" applyAlignment="1">
      <alignment horizontal="center" vertical="center"/>
    </xf>
    <xf numFmtId="0" fontId="126" fillId="0" borderId="0" xfId="0" applyFont="1" applyAlignment="1">
      <alignment horizontal="left" vertical="center" wrapText="1"/>
    </xf>
    <xf numFmtId="0" fontId="126" fillId="0" borderId="110" xfId="0" applyFont="1" applyBorder="1" applyAlignment="1">
      <alignment horizontal="left" vertical="center" wrapText="1"/>
    </xf>
    <xf numFmtId="3" fontId="126" fillId="34" borderId="111" xfId="0" applyNumberFormat="1" applyFont="1" applyFill="1" applyBorder="1" applyAlignment="1">
      <alignment horizontal="center" vertical="center"/>
    </xf>
    <xf numFmtId="3" fontId="126" fillId="48" borderId="113" xfId="0" applyNumberFormat="1" applyFont="1" applyFill="1" applyBorder="1" applyAlignment="1">
      <alignment horizontal="center" vertical="center"/>
    </xf>
    <xf numFmtId="1" fontId="126" fillId="53" borderId="99" xfId="0" applyNumberFormat="1" applyFont="1" applyFill="1" applyBorder="1" applyAlignment="1">
      <alignment horizontal="center" vertical="center" wrapText="1"/>
    </xf>
    <xf numFmtId="0" fontId="167" fillId="50" borderId="96" xfId="0" applyFont="1" applyFill="1" applyBorder="1" applyAlignment="1">
      <alignment horizontal="left" vertical="center" wrapText="1"/>
    </xf>
    <xf numFmtId="0" fontId="143" fillId="50" borderId="100" xfId="0" applyFont="1" applyFill="1" applyBorder="1" applyAlignment="1">
      <alignment horizontal="left" vertical="center" wrapText="1"/>
    </xf>
    <xf numFmtId="10" fontId="126" fillId="50" borderId="101" xfId="132" applyNumberFormat="1" applyFont="1" applyFill="1" applyBorder="1" applyAlignment="1">
      <alignment horizontal="center" vertical="center" wrapText="1"/>
    </xf>
    <xf numFmtId="10" fontId="126" fillId="50" borderId="102" xfId="132" applyNumberFormat="1" applyFont="1" applyFill="1" applyBorder="1" applyAlignment="1">
      <alignment horizontal="center" vertical="center" wrapText="1"/>
    </xf>
    <xf numFmtId="10" fontId="126" fillId="50" borderId="103" xfId="132" applyNumberFormat="1" applyFont="1" applyFill="1" applyBorder="1" applyAlignment="1">
      <alignment horizontal="center" vertical="center" wrapText="1"/>
    </xf>
    <xf numFmtId="0" fontId="143" fillId="50" borderId="104" xfId="0" applyFont="1" applyFill="1" applyBorder="1" applyAlignment="1">
      <alignment horizontal="left" vertical="center" wrapText="1"/>
    </xf>
    <xf numFmtId="10" fontId="126" fillId="50" borderId="105" xfId="132" applyNumberFormat="1" applyFont="1" applyFill="1" applyBorder="1" applyAlignment="1">
      <alignment horizontal="center" vertical="center" wrapText="1"/>
    </xf>
    <xf numFmtId="0" fontId="143" fillId="50" borderId="114" xfId="0" applyFont="1" applyFill="1" applyBorder="1" applyAlignment="1">
      <alignment horizontal="left" vertical="center" wrapText="1"/>
    </xf>
    <xf numFmtId="10" fontId="126" fillId="50" borderId="115" xfId="132" applyNumberFormat="1" applyFont="1" applyFill="1" applyBorder="1" applyAlignment="1">
      <alignment horizontal="center" vertical="center" wrapText="1"/>
    </xf>
    <xf numFmtId="10" fontId="126" fillId="50" borderId="116" xfId="132" applyNumberFormat="1" applyFont="1" applyFill="1" applyBorder="1" applyAlignment="1">
      <alignment horizontal="center" vertical="center" wrapText="1"/>
    </xf>
    <xf numFmtId="10" fontId="126" fillId="50" borderId="117" xfId="132" applyNumberFormat="1" applyFont="1" applyFill="1" applyBorder="1" applyAlignment="1">
      <alignment horizontal="center" vertical="center" wrapText="1"/>
    </xf>
    <xf numFmtId="0" fontId="167" fillId="50" borderId="118" xfId="0" applyFont="1" applyFill="1" applyBorder="1" applyAlignment="1">
      <alignment horizontal="left" vertical="center" wrapText="1"/>
    </xf>
    <xf numFmtId="0" fontId="143" fillId="50" borderId="40" xfId="0" applyFont="1" applyFill="1" applyBorder="1" applyAlignment="1">
      <alignment horizontal="left" vertical="center" wrapText="1"/>
    </xf>
    <xf numFmtId="10" fontId="126" fillId="50" borderId="0" xfId="132" applyNumberFormat="1" applyFont="1" applyFill="1" applyBorder="1" applyAlignment="1">
      <alignment horizontal="center" vertical="center" wrapText="1"/>
    </xf>
    <xf numFmtId="10" fontId="126" fillId="50" borderId="49" xfId="132" applyNumberFormat="1" applyFont="1" applyFill="1" applyBorder="1" applyAlignment="1">
      <alignment horizontal="center" vertical="center" wrapText="1"/>
    </xf>
    <xf numFmtId="10" fontId="126" fillId="50" borderId="46" xfId="132" applyNumberFormat="1" applyFont="1" applyFill="1" applyBorder="1" applyAlignment="1">
      <alignment horizontal="center" vertical="center" wrapText="1"/>
    </xf>
    <xf numFmtId="10" fontId="116" fillId="50" borderId="97" xfId="132" applyNumberFormat="1" applyFont="1" applyFill="1" applyBorder="1" applyAlignment="1">
      <alignment horizontal="center" vertical="center" wrapText="1"/>
    </xf>
    <xf numFmtId="10" fontId="116" fillId="50" borderId="98" xfId="132" applyNumberFormat="1" applyFont="1" applyFill="1" applyBorder="1" applyAlignment="1">
      <alignment horizontal="center" vertical="center" wrapText="1"/>
    </xf>
    <xf numFmtId="10" fontId="116" fillId="50" borderId="99" xfId="132" applyNumberFormat="1" applyFont="1" applyFill="1" applyBorder="1" applyAlignment="1">
      <alignment horizontal="center" vertical="center" wrapText="1"/>
    </xf>
    <xf numFmtId="10" fontId="116" fillId="50" borderId="119" xfId="132" applyNumberFormat="1" applyFont="1" applyFill="1" applyBorder="1" applyAlignment="1">
      <alignment horizontal="center" vertical="center" wrapText="1"/>
    </xf>
    <xf numFmtId="10" fontId="116" fillId="50" borderId="120" xfId="132" applyNumberFormat="1" applyFont="1" applyFill="1" applyBorder="1" applyAlignment="1">
      <alignment horizontal="center" vertical="center" wrapText="1"/>
    </xf>
    <xf numFmtId="10" fontId="116" fillId="50" borderId="121" xfId="132" applyNumberFormat="1" applyFont="1" applyFill="1" applyBorder="1" applyAlignment="1">
      <alignment horizontal="center" vertical="center" wrapText="1"/>
    </xf>
    <xf numFmtId="9" fontId="46" fillId="0" borderId="0" xfId="132" applyFont="1"/>
    <xf numFmtId="3" fontId="126" fillId="48" borderId="0" xfId="186" applyNumberFormat="1" applyFont="1" applyFill="1" applyAlignment="1">
      <alignment horizontal="center"/>
    </xf>
    <xf numFmtId="10" fontId="46" fillId="0" borderId="0" xfId="0" applyNumberFormat="1" applyFont="1" applyAlignment="1">
      <alignment vertical="center"/>
    </xf>
    <xf numFmtId="0" fontId="116" fillId="0" borderId="0" xfId="0" applyFont="1" applyAlignment="1">
      <alignment horizontal="left" wrapText="1"/>
    </xf>
    <xf numFmtId="3" fontId="65" fillId="0" borderId="0" xfId="186" applyNumberFormat="1" applyFont="1"/>
    <xf numFmtId="9" fontId="115" fillId="34" borderId="0" xfId="132" applyFont="1" applyFill="1" applyAlignment="1">
      <alignment horizontal="left" vertical="center"/>
    </xf>
    <xf numFmtId="0" fontId="115" fillId="0" borderId="0" xfId="186" applyFont="1"/>
    <xf numFmtId="169" fontId="126" fillId="0" borderId="49" xfId="132" applyNumberFormat="1" applyFont="1" applyFill="1" applyBorder="1" applyAlignment="1">
      <alignment horizontal="center" vertical="center"/>
    </xf>
    <xf numFmtId="10" fontId="126" fillId="0" borderId="49" xfId="187" applyNumberFormat="1" applyFont="1" applyFill="1" applyBorder="1" applyAlignment="1">
      <alignment horizontal="center" vertical="center"/>
    </xf>
    <xf numFmtId="9" fontId="126" fillId="0" borderId="49" xfId="187" applyNumberFormat="1" applyFont="1" applyFill="1" applyBorder="1" applyAlignment="1">
      <alignment horizontal="center" vertical="center"/>
    </xf>
    <xf numFmtId="169" fontId="126" fillId="0" borderId="49" xfId="187" applyNumberFormat="1" applyFont="1" applyFill="1" applyBorder="1" applyAlignment="1">
      <alignment horizontal="center" vertical="center"/>
    </xf>
    <xf numFmtId="9" fontId="126" fillId="0" borderId="49" xfId="132" applyFont="1" applyFill="1" applyBorder="1" applyAlignment="1">
      <alignment horizontal="center" vertical="center"/>
    </xf>
    <xf numFmtId="10" fontId="126" fillId="0" borderId="58" xfId="132" applyNumberFormat="1" applyFont="1" applyFill="1" applyBorder="1" applyAlignment="1">
      <alignment horizontal="center" vertical="center"/>
    </xf>
    <xf numFmtId="10" fontId="126" fillId="0" borderId="49" xfId="132" applyNumberFormat="1" applyFont="1" applyFill="1" applyBorder="1" applyAlignment="1">
      <alignment horizontal="center" vertical="center"/>
    </xf>
    <xf numFmtId="169" fontId="126" fillId="0" borderId="51" xfId="132" applyNumberFormat="1" applyFont="1" applyFill="1" applyBorder="1" applyAlignment="1">
      <alignment horizontal="center" vertical="center"/>
    </xf>
    <xf numFmtId="3" fontId="116" fillId="0" borderId="31" xfId="67" applyNumberFormat="1" applyFont="1" applyBorder="1" applyAlignment="1">
      <alignment horizontal="center" vertical="center"/>
    </xf>
    <xf numFmtId="169" fontId="126" fillId="0" borderId="51" xfId="132" applyNumberFormat="1" applyFont="1" applyFill="1" applyBorder="1" applyAlignment="1">
      <alignment horizontal="center"/>
    </xf>
    <xf numFmtId="169" fontId="126" fillId="0" borderId="49" xfId="132" applyNumberFormat="1" applyFont="1" applyFill="1" applyBorder="1" applyAlignment="1">
      <alignment horizontal="center"/>
    </xf>
    <xf numFmtId="169" fontId="116" fillId="0" borderId="49" xfId="132" applyNumberFormat="1" applyFont="1" applyFill="1" applyBorder="1" applyAlignment="1">
      <alignment horizontal="center"/>
    </xf>
    <xf numFmtId="194" fontId="126" fillId="0" borderId="51" xfId="353" applyNumberFormat="1" applyFont="1" applyFill="1" applyBorder="1" applyAlignment="1">
      <alignment horizontal="center"/>
    </xf>
    <xf numFmtId="3" fontId="164" fillId="0" borderId="35" xfId="186" applyNumberFormat="1" applyFont="1" applyBorder="1" applyAlignment="1">
      <alignment horizontal="center" vertical="center"/>
    </xf>
    <xf numFmtId="14" fontId="164" fillId="0" borderId="35" xfId="186" applyNumberFormat="1" applyFont="1" applyBorder="1" applyAlignment="1">
      <alignment horizontal="center" vertical="center"/>
    </xf>
    <xf numFmtId="3" fontId="164" fillId="0" borderId="108" xfId="186" applyNumberFormat="1" applyFont="1" applyBorder="1" applyAlignment="1">
      <alignment horizontal="center" vertical="center"/>
    </xf>
    <xf numFmtId="3" fontId="164" fillId="0" borderId="36" xfId="186" applyNumberFormat="1" applyFont="1" applyBorder="1" applyAlignment="1">
      <alignment horizontal="center" vertical="center"/>
    </xf>
    <xf numFmtId="3" fontId="164" fillId="0" borderId="109" xfId="186" applyNumberFormat="1" applyFont="1" applyBorder="1" applyAlignment="1">
      <alignment horizontal="center" vertical="center"/>
    </xf>
    <xf numFmtId="0" fontId="164" fillId="0" borderId="0" xfId="186" applyFont="1" applyAlignment="1">
      <alignment horizontal="center" vertical="center"/>
    </xf>
    <xf numFmtId="3" fontId="164" fillId="0" borderId="0" xfId="186" applyNumberFormat="1" applyFont="1" applyAlignment="1">
      <alignment horizontal="center" vertical="center"/>
    </xf>
    <xf numFmtId="0" fontId="164" fillId="0" borderId="46" xfId="186" applyFont="1" applyBorder="1" applyAlignment="1">
      <alignment horizontal="center" vertical="center"/>
    </xf>
    <xf numFmtId="3" fontId="164" fillId="0" borderId="122" xfId="186" applyNumberFormat="1" applyFont="1" applyBorder="1" applyAlignment="1">
      <alignment horizontal="center" vertical="center"/>
    </xf>
    <xf numFmtId="3" fontId="164" fillId="0" borderId="123" xfId="186" applyNumberFormat="1" applyFont="1" applyBorder="1" applyAlignment="1">
      <alignment horizontal="center" vertical="center"/>
    </xf>
    <xf numFmtId="15" fontId="164" fillId="0" borderId="0" xfId="186" applyNumberFormat="1" applyFont="1" applyAlignment="1">
      <alignment horizontal="center" vertical="center"/>
    </xf>
    <xf numFmtId="3" fontId="164" fillId="0" borderId="93" xfId="186" applyNumberFormat="1" applyFont="1" applyBorder="1" applyAlignment="1">
      <alignment horizontal="center" vertical="center"/>
    </xf>
    <xf numFmtId="0" fontId="164" fillId="0" borderId="93" xfId="186" applyFont="1" applyBorder="1" applyAlignment="1">
      <alignment horizontal="center" vertical="center"/>
    </xf>
    <xf numFmtId="0" fontId="164" fillId="0" borderId="95" xfId="186" applyFont="1" applyBorder="1" applyAlignment="1">
      <alignment horizontal="center" vertical="center"/>
    </xf>
    <xf numFmtId="15" fontId="164" fillId="0" borderId="36" xfId="186" applyNumberFormat="1" applyFont="1" applyBorder="1" applyAlignment="1">
      <alignment horizontal="center" vertical="center"/>
    </xf>
    <xf numFmtId="3" fontId="164" fillId="0" borderId="124" xfId="186" applyNumberFormat="1" applyFont="1" applyBorder="1" applyAlignment="1">
      <alignment horizontal="center" vertical="center"/>
    </xf>
    <xf numFmtId="3" fontId="164" fillId="0" borderId="46" xfId="186" applyNumberFormat="1" applyFont="1" applyBorder="1" applyAlignment="1">
      <alignment horizontal="center" vertical="center"/>
    </xf>
    <xf numFmtId="3" fontId="164" fillId="0" borderId="97" xfId="186" applyNumberFormat="1" applyFont="1" applyBorder="1" applyAlignment="1">
      <alignment horizontal="center"/>
    </xf>
    <xf numFmtId="3" fontId="164" fillId="0" borderId="99" xfId="186" applyNumberFormat="1" applyFont="1" applyBorder="1" applyAlignment="1">
      <alignment horizontal="center"/>
    </xf>
    <xf numFmtId="3" fontId="160" fillId="0" borderId="97" xfId="186" applyNumberFormat="1" applyFont="1" applyBorder="1" applyAlignment="1">
      <alignment horizontal="center"/>
    </xf>
    <xf numFmtId="3" fontId="160" fillId="0" borderId="99" xfId="186" applyNumberFormat="1" applyFont="1" applyBorder="1" applyAlignment="1">
      <alignment horizontal="center"/>
    </xf>
    <xf numFmtId="2" fontId="144" fillId="49" borderId="125" xfId="0" applyNumberFormat="1" applyFont="1" applyFill="1" applyBorder="1" applyAlignment="1">
      <alignment horizontal="center" vertical="center" wrapText="1"/>
    </xf>
    <xf numFmtId="3" fontId="116" fillId="51" borderId="126" xfId="67" applyNumberFormat="1" applyFont="1" applyFill="1" applyBorder="1" applyAlignment="1">
      <alignment horizontal="center" vertical="center"/>
    </xf>
    <xf numFmtId="3" fontId="116" fillId="51" borderId="127" xfId="67" applyNumberFormat="1" applyFont="1" applyFill="1" applyBorder="1" applyAlignment="1">
      <alignment horizontal="center" vertical="center"/>
    </xf>
    <xf numFmtId="3" fontId="135" fillId="51" borderId="126" xfId="67" applyNumberFormat="1" applyFont="1" applyFill="1" applyBorder="1" applyAlignment="1">
      <alignment horizontal="center" vertical="center"/>
    </xf>
    <xf numFmtId="3" fontId="135" fillId="51" borderId="127" xfId="67" applyNumberFormat="1" applyFont="1" applyFill="1" applyBorder="1" applyAlignment="1">
      <alignment horizontal="center" vertical="center"/>
    </xf>
    <xf numFmtId="1" fontId="116" fillId="51" borderId="126" xfId="0" applyNumberFormat="1" applyFont="1" applyFill="1" applyBorder="1" applyAlignment="1">
      <alignment horizontal="center" vertical="center"/>
    </xf>
    <xf numFmtId="0" fontId="116" fillId="48" borderId="50" xfId="0" applyFont="1" applyFill="1" applyBorder="1" applyAlignment="1">
      <alignment horizontal="center" vertical="center" wrapText="1"/>
    </xf>
    <xf numFmtId="169" fontId="121" fillId="0" borderId="0" xfId="0" applyNumberFormat="1" applyFont="1" applyAlignment="1">
      <alignment vertical="center"/>
    </xf>
    <xf numFmtId="3" fontId="47" fillId="0" borderId="0" xfId="0" applyNumberFormat="1" applyFont="1" applyAlignment="1">
      <alignment vertical="center"/>
    </xf>
    <xf numFmtId="1" fontId="45" fillId="0" borderId="0" xfId="0" applyNumberFormat="1" applyFont="1" applyAlignment="1">
      <alignment vertical="center"/>
    </xf>
    <xf numFmtId="37" fontId="46" fillId="0" borderId="0" xfId="187" applyNumberFormat="1" applyFont="1" applyBorder="1" applyAlignment="1">
      <alignment vertical="center"/>
    </xf>
    <xf numFmtId="9" fontId="110" fillId="0" borderId="0" xfId="132" applyFont="1"/>
    <xf numFmtId="169" fontId="110" fillId="0" borderId="0" xfId="132" applyNumberFormat="1" applyFont="1"/>
    <xf numFmtId="0" fontId="126" fillId="56" borderId="97" xfId="0" applyFont="1" applyFill="1" applyBorder="1" applyAlignment="1">
      <alignment horizontal="left" vertical="center" wrapText="1"/>
    </xf>
    <xf numFmtId="0" fontId="126" fillId="56" borderId="99" xfId="0" applyFont="1" applyFill="1" applyBorder="1" applyAlignment="1">
      <alignment horizontal="left" vertical="center" wrapText="1"/>
    </xf>
    <xf numFmtId="0" fontId="134" fillId="56" borderId="96" xfId="0" applyFont="1" applyFill="1" applyBorder="1" applyAlignment="1">
      <alignment horizontal="left" vertical="center" wrapText="1"/>
    </xf>
    <xf numFmtId="0" fontId="134" fillId="56" borderId="97" xfId="0" applyFont="1" applyFill="1" applyBorder="1" applyAlignment="1">
      <alignment horizontal="left" vertical="center" wrapText="1"/>
    </xf>
    <xf numFmtId="0" fontId="134" fillId="56" borderId="99" xfId="0" applyFont="1" applyFill="1" applyBorder="1" applyAlignment="1">
      <alignment horizontal="left" vertical="center" wrapText="1"/>
    </xf>
    <xf numFmtId="0" fontId="164" fillId="51" borderId="128" xfId="186" applyFont="1" applyFill="1" applyBorder="1" applyAlignment="1">
      <alignment horizontal="center" vertical="center" wrapText="1"/>
    </xf>
    <xf numFmtId="0" fontId="164" fillId="51" borderId="129" xfId="186" applyFont="1" applyFill="1" applyBorder="1" applyAlignment="1">
      <alignment horizontal="center" vertical="center" wrapText="1"/>
    </xf>
    <xf numFmtId="0" fontId="164" fillId="51" borderId="40" xfId="186" applyFont="1" applyFill="1" applyBorder="1" applyAlignment="1">
      <alignment horizontal="center" vertical="center" wrapText="1"/>
    </xf>
    <xf numFmtId="0" fontId="164" fillId="51" borderId="130" xfId="186" applyFont="1" applyFill="1" applyBorder="1" applyAlignment="1">
      <alignment horizontal="center" vertical="center" wrapText="1"/>
    </xf>
    <xf numFmtId="0" fontId="164" fillId="51" borderId="96" xfId="186" applyFont="1" applyFill="1" applyBorder="1" applyAlignment="1">
      <alignment horizontal="center" vertical="center" wrapText="1"/>
    </xf>
    <xf numFmtId="3" fontId="164" fillId="55" borderId="92" xfId="186" applyNumberFormat="1" applyFont="1" applyFill="1" applyBorder="1" applyAlignment="1">
      <alignment horizontal="center" vertical="center" wrapText="1"/>
    </xf>
    <xf numFmtId="0" fontId="164" fillId="0" borderId="96" xfId="186" applyFont="1" applyBorder="1" applyAlignment="1">
      <alignment horizontal="left" vertical="center" wrapText="1"/>
    </xf>
    <xf numFmtId="0" fontId="160" fillId="0" borderId="96" xfId="186" applyFont="1" applyBorder="1" applyAlignment="1">
      <alignment horizontal="center" vertical="center" wrapText="1"/>
    </xf>
    <xf numFmtId="3" fontId="167" fillId="47" borderId="0" xfId="67" applyNumberFormat="1" applyFont="1" applyFill="1" applyAlignment="1">
      <alignment horizontal="center" vertical="center"/>
    </xf>
    <xf numFmtId="3" fontId="126" fillId="0" borderId="111" xfId="0" applyNumberFormat="1" applyFont="1" applyBorder="1" applyAlignment="1">
      <alignment horizontal="center" vertical="center"/>
    </xf>
    <xf numFmtId="3" fontId="135" fillId="0" borderId="31" xfId="67" applyNumberFormat="1" applyFont="1" applyBorder="1" applyAlignment="1">
      <alignment horizontal="center" vertical="center"/>
    </xf>
    <xf numFmtId="1" fontId="116" fillId="0" borderId="30" xfId="0" applyNumberFormat="1" applyFont="1" applyBorder="1" applyAlignment="1">
      <alignment horizontal="center" vertical="center"/>
    </xf>
    <xf numFmtId="0" fontId="116" fillId="0" borderId="30" xfId="0" applyFont="1" applyBorder="1" applyAlignment="1">
      <alignment horizontal="center" vertical="center"/>
    </xf>
    <xf numFmtId="3" fontId="116" fillId="0" borderId="31" xfId="0" applyNumberFormat="1" applyFont="1" applyBorder="1" applyAlignment="1">
      <alignment horizontal="center" vertical="center"/>
    </xf>
    <xf numFmtId="3" fontId="126" fillId="48" borderId="30" xfId="67" applyNumberFormat="1" applyFont="1" applyFill="1" applyBorder="1" applyAlignment="1">
      <alignment horizontal="center" vertical="center"/>
    </xf>
    <xf numFmtId="202" fontId="116" fillId="49" borderId="46" xfId="0" applyNumberFormat="1" applyFont="1" applyFill="1" applyBorder="1" applyAlignment="1">
      <alignment horizontal="center" vertical="center" wrapText="1"/>
    </xf>
    <xf numFmtId="3" fontId="126" fillId="48" borderId="131" xfId="67" applyNumberFormat="1" applyFont="1" applyFill="1" applyBorder="1" applyAlignment="1">
      <alignment horizontal="center" vertical="center"/>
    </xf>
    <xf numFmtId="0" fontId="126" fillId="48" borderId="64" xfId="0" applyFont="1" applyFill="1" applyBorder="1" applyAlignment="1">
      <alignment horizontal="left" vertical="center" wrapText="1"/>
    </xf>
    <xf numFmtId="0" fontId="149" fillId="52" borderId="104" xfId="0" applyFont="1" applyFill="1" applyBorder="1" applyAlignment="1">
      <alignment horizontal="left" vertical="center" wrapText="1" indent="1"/>
    </xf>
    <xf numFmtId="1" fontId="149" fillId="52" borderId="105" xfId="0" applyNumberFormat="1" applyFont="1" applyFill="1" applyBorder="1" applyAlignment="1">
      <alignment horizontal="center" vertical="center" wrapText="1"/>
    </xf>
    <xf numFmtId="1" fontId="149" fillId="52" borderId="106" xfId="0" applyNumberFormat="1" applyFont="1" applyFill="1" applyBorder="1" applyAlignment="1">
      <alignment horizontal="center" vertical="center" wrapText="1"/>
    </xf>
    <xf numFmtId="1" fontId="149" fillId="52" borderId="107" xfId="0" applyNumberFormat="1" applyFont="1" applyFill="1" applyBorder="1" applyAlignment="1">
      <alignment horizontal="center" vertical="center" wrapText="1"/>
    </xf>
    <xf numFmtId="199" fontId="126" fillId="47" borderId="0" xfId="0" applyNumberFormat="1" applyFont="1" applyFill="1" applyAlignment="1">
      <alignment horizontal="center" vertical="center"/>
    </xf>
    <xf numFmtId="3" fontId="126" fillId="48" borderId="63" xfId="67" applyNumberFormat="1" applyFont="1" applyFill="1" applyBorder="1" applyAlignment="1">
      <alignment horizontal="center" vertical="center"/>
    </xf>
    <xf numFmtId="169" fontId="126" fillId="48" borderId="46" xfId="187" applyNumberFormat="1" applyFont="1" applyFill="1" applyBorder="1" applyAlignment="1">
      <alignment horizontal="center" vertical="center"/>
    </xf>
    <xf numFmtId="9" fontId="110" fillId="0" borderId="0" xfId="132" applyFont="1" applyBorder="1"/>
    <xf numFmtId="194" fontId="110" fillId="0" borderId="0" xfId="187" applyNumberFormat="1" applyFont="1" applyBorder="1"/>
    <xf numFmtId="2" fontId="110" fillId="0" borderId="0" xfId="132" applyNumberFormat="1" applyFont="1"/>
    <xf numFmtId="194" fontId="110" fillId="0" borderId="0" xfId="187" applyNumberFormat="1" applyFont="1"/>
    <xf numFmtId="43" fontId="50" fillId="0" borderId="0" xfId="187" applyFont="1" applyAlignment="1">
      <alignment vertical="center"/>
    </xf>
    <xf numFmtId="43" fontId="46" fillId="0" borderId="0" xfId="187" applyFont="1" applyBorder="1" applyAlignment="1">
      <alignment vertical="center"/>
    </xf>
    <xf numFmtId="4" fontId="46" fillId="0" borderId="0" xfId="0" applyNumberFormat="1" applyFont="1" applyAlignment="1">
      <alignment vertical="center"/>
    </xf>
    <xf numFmtId="43" fontId="46" fillId="0" borderId="0" xfId="187" applyFont="1" applyAlignment="1">
      <alignment vertical="center"/>
    </xf>
    <xf numFmtId="169" fontId="111" fillId="0" borderId="0" xfId="132" applyNumberFormat="1" applyFont="1" applyProtection="1"/>
    <xf numFmtId="0" fontId="126" fillId="51" borderId="128" xfId="186" applyFont="1" applyFill="1" applyBorder="1" applyAlignment="1">
      <alignment horizontal="center" vertical="center" wrapText="1"/>
    </xf>
    <xf numFmtId="0" fontId="126" fillId="51" borderId="132" xfId="186" applyFont="1" applyFill="1" applyBorder="1" applyAlignment="1">
      <alignment horizontal="center" vertical="center" wrapText="1"/>
    </xf>
    <xf numFmtId="203" fontId="126" fillId="0" borderId="35" xfId="186" applyNumberFormat="1" applyFont="1" applyBorder="1" applyAlignment="1">
      <alignment horizontal="center" vertical="center"/>
    </xf>
    <xf numFmtId="3" fontId="126" fillId="0" borderId="35" xfId="186" applyNumberFormat="1" applyFont="1" applyBorder="1" applyAlignment="1">
      <alignment horizontal="center" vertical="center"/>
    </xf>
    <xf numFmtId="3" fontId="126" fillId="0" borderId="108" xfId="186" applyNumberFormat="1" applyFont="1" applyBorder="1" applyAlignment="1">
      <alignment horizontal="center" vertical="center"/>
    </xf>
    <xf numFmtId="3" fontId="126" fillId="0" borderId="36" xfId="186" applyNumberFormat="1" applyFont="1" applyBorder="1" applyAlignment="1">
      <alignment horizontal="center" vertical="center"/>
    </xf>
    <xf numFmtId="3" fontId="126" fillId="0" borderId="109" xfId="186" applyNumberFormat="1" applyFont="1" applyBorder="1" applyAlignment="1">
      <alignment horizontal="center" vertical="center"/>
    </xf>
    <xf numFmtId="3" fontId="126" fillId="0" borderId="93" xfId="186" applyNumberFormat="1" applyFont="1" applyBorder="1" applyAlignment="1">
      <alignment horizontal="center" vertical="center"/>
    </xf>
    <xf numFmtId="0" fontId="126" fillId="0" borderId="95" xfId="186" applyFont="1" applyBorder="1" applyAlignment="1">
      <alignment horizontal="center" vertical="center"/>
    </xf>
    <xf numFmtId="0" fontId="160" fillId="50" borderId="38" xfId="186" applyFont="1" applyFill="1" applyBorder="1" applyAlignment="1">
      <alignment horizontal="left"/>
    </xf>
    <xf numFmtId="3" fontId="126" fillId="0" borderId="46" xfId="186" applyNumberFormat="1" applyFont="1" applyBorder="1" applyAlignment="1">
      <alignment horizontal="center" vertical="center"/>
    </xf>
    <xf numFmtId="204" fontId="126" fillId="0" borderId="35" xfId="186" applyNumberFormat="1" applyFont="1" applyBorder="1" applyAlignment="1">
      <alignment horizontal="center" vertical="center"/>
    </xf>
    <xf numFmtId="3" fontId="126" fillId="0" borderId="0" xfId="186" applyNumberFormat="1" applyFont="1" applyAlignment="1">
      <alignment horizontal="center" vertical="center"/>
    </xf>
    <xf numFmtId="204" fontId="126" fillId="0" borderId="93" xfId="186" applyNumberFormat="1" applyFont="1" applyBorder="1" applyAlignment="1">
      <alignment horizontal="center" vertical="center"/>
    </xf>
    <xf numFmtId="3" fontId="126" fillId="0" borderId="49" xfId="186" applyNumberFormat="1" applyFont="1" applyBorder="1" applyAlignment="1">
      <alignment horizontal="center"/>
    </xf>
    <xf numFmtId="1" fontId="170" fillId="0" borderId="0" xfId="0" applyNumberFormat="1" applyFont="1" applyAlignment="1">
      <alignment horizontal="center" vertical="center"/>
    </xf>
    <xf numFmtId="10" fontId="126" fillId="50" borderId="133" xfId="132" applyNumberFormat="1" applyFont="1" applyFill="1" applyBorder="1" applyAlignment="1">
      <alignment horizontal="center" vertical="center" wrapText="1"/>
    </xf>
    <xf numFmtId="9" fontId="126" fillId="48" borderId="46" xfId="0" applyNumberFormat="1" applyFont="1" applyFill="1" applyBorder="1" applyAlignment="1">
      <alignment horizontal="center" vertical="center"/>
    </xf>
    <xf numFmtId="2" fontId="126" fillId="48" borderId="49" xfId="0" applyNumberFormat="1" applyFont="1" applyFill="1" applyBorder="1" applyAlignment="1">
      <alignment horizontal="center" vertical="center"/>
    </xf>
    <xf numFmtId="169" fontId="126" fillId="48" borderId="0" xfId="132" applyNumberFormat="1" applyFont="1" applyFill="1" applyBorder="1" applyAlignment="1">
      <alignment horizontal="center" vertical="center"/>
    </xf>
    <xf numFmtId="169" fontId="126" fillId="48" borderId="49" xfId="132" applyNumberFormat="1" applyFont="1" applyFill="1" applyBorder="1" applyAlignment="1">
      <alignment horizontal="center" vertical="center"/>
    </xf>
    <xf numFmtId="9" fontId="127" fillId="0" borderId="0" xfId="132" applyFont="1" applyAlignment="1">
      <alignment vertical="center"/>
    </xf>
    <xf numFmtId="3" fontId="126" fillId="48" borderId="31" xfId="67" applyNumberFormat="1" applyFont="1" applyFill="1" applyBorder="1" applyAlignment="1">
      <alignment horizontal="center" vertical="center"/>
    </xf>
    <xf numFmtId="3" fontId="116" fillId="0" borderId="49" xfId="67" applyNumberFormat="1" applyFont="1" applyBorder="1" applyAlignment="1">
      <alignment horizontal="center" vertical="center"/>
    </xf>
    <xf numFmtId="3" fontId="116" fillId="0" borderId="48" xfId="67" applyNumberFormat="1" applyFont="1" applyBorder="1" applyAlignment="1">
      <alignment horizontal="center" vertical="center"/>
    </xf>
    <xf numFmtId="3" fontId="116" fillId="0" borderId="51" xfId="67" applyNumberFormat="1" applyFont="1" applyBorder="1" applyAlignment="1">
      <alignment horizontal="center" vertical="center"/>
    </xf>
    <xf numFmtId="3" fontId="116" fillId="0" borderId="54" xfId="0" applyNumberFormat="1" applyFont="1" applyBorder="1" applyAlignment="1">
      <alignment horizontal="center" vertical="center"/>
    </xf>
    <xf numFmtId="3" fontId="126" fillId="0" borderId="44" xfId="67" applyNumberFormat="1" applyFont="1" applyBorder="1" applyAlignment="1">
      <alignment horizontal="center" vertical="center"/>
    </xf>
    <xf numFmtId="3" fontId="126" fillId="0" borderId="49" xfId="67" applyNumberFormat="1" applyFont="1" applyBorder="1" applyAlignment="1">
      <alignment horizontal="center" vertical="center"/>
    </xf>
    <xf numFmtId="3" fontId="126" fillId="0" borderId="48" xfId="67" applyNumberFormat="1" applyFont="1" applyBorder="1" applyAlignment="1">
      <alignment horizontal="center" vertical="center"/>
    </xf>
    <xf numFmtId="3" fontId="126" fillId="0" borderId="54" xfId="0" applyNumberFormat="1" applyFont="1" applyBorder="1" applyAlignment="1">
      <alignment horizontal="center" vertical="center"/>
    </xf>
    <xf numFmtId="3" fontId="126" fillId="0" borderId="51" xfId="0" applyNumberFormat="1" applyFont="1" applyBorder="1" applyAlignment="1">
      <alignment horizontal="center" vertical="center"/>
    </xf>
    <xf numFmtId="3" fontId="116" fillId="48" borderId="0" xfId="67" applyNumberFormat="1" applyFont="1" applyFill="1" applyAlignment="1">
      <alignment horizontal="center" vertical="center"/>
    </xf>
    <xf numFmtId="3" fontId="126" fillId="48" borderId="0" xfId="67" applyNumberFormat="1" applyFont="1" applyFill="1" applyAlignment="1">
      <alignment horizontal="center" vertical="center"/>
    </xf>
    <xf numFmtId="0" fontId="126" fillId="47" borderId="135" xfId="0" applyFont="1" applyFill="1" applyBorder="1" applyAlignment="1">
      <alignment horizontal="center" vertical="center" wrapText="1"/>
    </xf>
    <xf numFmtId="3" fontId="116" fillId="48" borderId="136" xfId="67" applyNumberFormat="1" applyFont="1" applyFill="1" applyBorder="1" applyAlignment="1">
      <alignment horizontal="center" vertical="center"/>
    </xf>
    <xf numFmtId="3" fontId="126" fillId="48" borderId="134" xfId="67" applyNumberFormat="1" applyFont="1" applyFill="1" applyBorder="1" applyAlignment="1">
      <alignment horizontal="center" vertical="center"/>
    </xf>
    <xf numFmtId="3" fontId="126" fillId="48" borderId="136" xfId="67" applyNumberFormat="1" applyFont="1" applyFill="1" applyBorder="1" applyAlignment="1">
      <alignment horizontal="center" vertical="center"/>
    </xf>
    <xf numFmtId="3" fontId="116" fillId="48" borderId="135" xfId="67" applyNumberFormat="1" applyFont="1" applyFill="1" applyBorder="1" applyAlignment="1">
      <alignment horizontal="center" vertical="center"/>
    </xf>
    <xf numFmtId="3" fontId="116" fillId="48" borderId="137" xfId="67" applyNumberFormat="1" applyFont="1" applyFill="1" applyBorder="1" applyAlignment="1">
      <alignment horizontal="center" vertical="center"/>
    </xf>
    <xf numFmtId="3" fontId="126" fillId="48" borderId="135" xfId="67" applyNumberFormat="1" applyFont="1" applyFill="1" applyBorder="1" applyAlignment="1">
      <alignment horizontal="center" vertical="center"/>
    </xf>
    <xf numFmtId="3" fontId="126" fillId="48" borderId="138" xfId="0" applyNumberFormat="1" applyFont="1" applyFill="1" applyBorder="1" applyAlignment="1">
      <alignment horizontal="center" vertical="center"/>
    </xf>
    <xf numFmtId="3" fontId="116" fillId="48" borderId="138" xfId="0" applyNumberFormat="1" applyFont="1" applyFill="1" applyBorder="1" applyAlignment="1">
      <alignment horizontal="center" vertical="center"/>
    </xf>
    <xf numFmtId="3" fontId="126" fillId="48" borderId="137" xfId="0" applyNumberFormat="1" applyFont="1" applyFill="1" applyBorder="1" applyAlignment="1">
      <alignment horizontal="center" vertical="center"/>
    </xf>
    <xf numFmtId="3" fontId="116" fillId="0" borderId="136" xfId="67" applyNumberFormat="1" applyFont="1" applyBorder="1" applyAlignment="1">
      <alignment horizontal="center" vertical="center"/>
    </xf>
    <xf numFmtId="3" fontId="126" fillId="0" borderId="134" xfId="67" applyNumberFormat="1" applyFont="1" applyBorder="1" applyAlignment="1">
      <alignment horizontal="center" vertical="center"/>
    </xf>
    <xf numFmtId="3" fontId="126" fillId="0" borderId="136" xfId="67" applyNumberFormat="1" applyFont="1" applyBorder="1" applyAlignment="1">
      <alignment horizontal="center" vertical="center"/>
    </xf>
    <xf numFmtId="3" fontId="116" fillId="0" borderId="135" xfId="67" applyNumberFormat="1" applyFont="1" applyBorder="1" applyAlignment="1">
      <alignment horizontal="center" vertical="center"/>
    </xf>
    <xf numFmtId="3" fontId="116" fillId="0" borderId="137" xfId="67" applyNumberFormat="1" applyFont="1" applyBorder="1" applyAlignment="1">
      <alignment horizontal="center" vertical="center"/>
    </xf>
    <xf numFmtId="3" fontId="126" fillId="0" borderId="135" xfId="67" applyNumberFormat="1" applyFont="1" applyBorder="1" applyAlignment="1">
      <alignment horizontal="center" vertical="center"/>
    </xf>
    <xf numFmtId="3" fontId="126" fillId="0" borderId="138" xfId="0" applyNumberFormat="1" applyFont="1" applyBorder="1" applyAlignment="1">
      <alignment horizontal="center" vertical="center"/>
    </xf>
    <xf numFmtId="3" fontId="116" fillId="0" borderId="138" xfId="0" applyNumberFormat="1" applyFont="1" applyBorder="1" applyAlignment="1">
      <alignment horizontal="center" vertical="center"/>
    </xf>
    <xf numFmtId="3" fontId="126" fillId="0" borderId="137" xfId="0" applyNumberFormat="1" applyFont="1" applyBorder="1" applyAlignment="1">
      <alignment horizontal="center" vertical="center"/>
    </xf>
    <xf numFmtId="3" fontId="126" fillId="0" borderId="51" xfId="67" applyNumberFormat="1" applyFont="1" applyBorder="1" applyAlignment="1">
      <alignment horizontal="center" vertical="center"/>
    </xf>
    <xf numFmtId="3" fontId="126" fillId="48" borderId="43" xfId="67" applyNumberFormat="1" applyFont="1" applyFill="1" applyBorder="1" applyAlignment="1">
      <alignment horizontal="center" vertical="center"/>
    </xf>
    <xf numFmtId="173" fontId="126" fillId="47" borderId="135" xfId="0" applyNumberFormat="1" applyFont="1" applyFill="1" applyBorder="1" applyAlignment="1">
      <alignment horizontal="center" vertical="center" wrapText="1"/>
    </xf>
    <xf numFmtId="3" fontId="126" fillId="0" borderId="137" xfId="67" applyNumberFormat="1" applyFont="1" applyBorder="1" applyAlignment="1">
      <alignment horizontal="center" vertical="center"/>
    </xf>
    <xf numFmtId="173" fontId="126" fillId="47" borderId="139" xfId="0" applyNumberFormat="1" applyFont="1" applyFill="1" applyBorder="1" applyAlignment="1">
      <alignment horizontal="center" vertical="center" wrapText="1"/>
    </xf>
    <xf numFmtId="2" fontId="126" fillId="0" borderId="49" xfId="0" applyNumberFormat="1" applyFont="1" applyBorder="1" applyAlignment="1">
      <alignment horizontal="center" vertical="center"/>
    </xf>
    <xf numFmtId="10" fontId="126" fillId="48" borderId="0" xfId="187" applyNumberFormat="1" applyFont="1" applyFill="1" applyBorder="1" applyAlignment="1">
      <alignment horizontal="center" vertical="center"/>
    </xf>
    <xf numFmtId="9" fontId="126" fillId="48" borderId="0" xfId="187" applyNumberFormat="1" applyFont="1" applyFill="1" applyBorder="1" applyAlignment="1">
      <alignment horizontal="center" vertical="center"/>
    </xf>
    <xf numFmtId="169" fontId="126" fillId="48" borderId="0" xfId="187" applyNumberFormat="1" applyFont="1" applyFill="1" applyBorder="1" applyAlignment="1">
      <alignment horizontal="center" vertical="center"/>
    </xf>
    <xf numFmtId="9" fontId="126" fillId="48" borderId="0" xfId="132" applyFont="1" applyFill="1" applyBorder="1" applyAlignment="1">
      <alignment horizontal="center" vertical="center"/>
    </xf>
    <xf numFmtId="10" fontId="126" fillId="48" borderId="57" xfId="132" applyNumberFormat="1" applyFont="1" applyFill="1" applyBorder="1" applyAlignment="1">
      <alignment horizontal="center" vertical="center"/>
    </xf>
    <xf numFmtId="169" fontId="126" fillId="48" borderId="43" xfId="132" applyNumberFormat="1" applyFont="1" applyFill="1" applyBorder="1" applyAlignment="1">
      <alignment horizontal="center" vertical="center"/>
    </xf>
    <xf numFmtId="0" fontId="126" fillId="47" borderId="140" xfId="0" applyFont="1" applyFill="1" applyBorder="1" applyAlignment="1">
      <alignment horizontal="center" vertical="center" wrapText="1"/>
    </xf>
    <xf numFmtId="2" fontId="126" fillId="0" borderId="136" xfId="0" applyNumberFormat="1" applyFont="1" applyBorder="1" applyAlignment="1">
      <alignment horizontal="center" vertical="center"/>
    </xf>
    <xf numFmtId="2" fontId="126" fillId="48" borderId="136" xfId="0" applyNumberFormat="1" applyFont="1" applyFill="1" applyBorder="1" applyAlignment="1">
      <alignment horizontal="center" vertical="center"/>
    </xf>
    <xf numFmtId="169" fontId="126" fillId="0" borderId="136" xfId="132" applyNumberFormat="1" applyFont="1" applyFill="1" applyBorder="1" applyAlignment="1">
      <alignment horizontal="center" vertical="center"/>
    </xf>
    <xf numFmtId="169" fontId="126" fillId="48" borderId="136" xfId="132" applyNumberFormat="1" applyFont="1" applyFill="1" applyBorder="1" applyAlignment="1">
      <alignment horizontal="center" vertical="center"/>
    </xf>
    <xf numFmtId="10" fontId="126" fillId="0" borderId="136" xfId="187" applyNumberFormat="1" applyFont="1" applyFill="1" applyBorder="1" applyAlignment="1">
      <alignment horizontal="center" vertical="center"/>
    </xf>
    <xf numFmtId="9" fontId="126" fillId="0" borderId="136" xfId="187" applyNumberFormat="1" applyFont="1" applyFill="1" applyBorder="1" applyAlignment="1">
      <alignment horizontal="center" vertical="center"/>
    </xf>
    <xf numFmtId="169" fontId="126" fillId="0" borderId="136" xfId="187" applyNumberFormat="1" applyFont="1" applyFill="1" applyBorder="1" applyAlignment="1">
      <alignment horizontal="center" vertical="center"/>
    </xf>
    <xf numFmtId="9" fontId="126" fillId="0" borderId="136" xfId="132" applyFont="1" applyFill="1" applyBorder="1" applyAlignment="1">
      <alignment horizontal="center" vertical="center"/>
    </xf>
    <xf numFmtId="10" fontId="126" fillId="0" borderId="141" xfId="132" applyNumberFormat="1" applyFont="1" applyFill="1" applyBorder="1" applyAlignment="1">
      <alignment horizontal="center" vertical="center"/>
    </xf>
    <xf numFmtId="10" fontId="126" fillId="0" borderId="136" xfId="132" applyNumberFormat="1" applyFont="1" applyFill="1" applyBorder="1" applyAlignment="1">
      <alignment horizontal="center" vertical="center"/>
    </xf>
    <xf numFmtId="169" fontId="126" fillId="0" borderId="137" xfId="132" applyNumberFormat="1" applyFont="1" applyFill="1" applyBorder="1" applyAlignment="1">
      <alignment horizontal="center" vertical="center"/>
    </xf>
    <xf numFmtId="3" fontId="135" fillId="0" borderId="30" xfId="67" applyNumberFormat="1" applyFont="1" applyBorder="1" applyAlignment="1">
      <alignment horizontal="center" vertical="center"/>
    </xf>
    <xf numFmtId="3" fontId="135" fillId="0" borderId="0" xfId="67" applyNumberFormat="1" applyFont="1" applyAlignment="1">
      <alignment horizontal="center" vertical="center"/>
    </xf>
    <xf numFmtId="202" fontId="116" fillId="49" borderId="0" xfId="0" applyNumberFormat="1" applyFont="1" applyFill="1" applyAlignment="1">
      <alignment horizontal="center" vertical="center" wrapText="1"/>
    </xf>
    <xf numFmtId="3" fontId="116" fillId="51" borderId="142" xfId="67" applyNumberFormat="1" applyFont="1" applyFill="1" applyBorder="1" applyAlignment="1">
      <alignment horizontal="center" vertical="center"/>
    </xf>
    <xf numFmtId="3" fontId="135" fillId="51" borderId="143" xfId="67" applyNumberFormat="1" applyFont="1" applyFill="1" applyBorder="1" applyAlignment="1">
      <alignment horizontal="center" vertical="center"/>
    </xf>
    <xf numFmtId="3" fontId="135" fillId="51" borderId="142" xfId="67" applyNumberFormat="1" applyFont="1" applyFill="1" applyBorder="1" applyAlignment="1">
      <alignment horizontal="center" vertical="center"/>
    </xf>
    <xf numFmtId="3" fontId="135" fillId="51" borderId="144" xfId="67" applyNumberFormat="1" applyFont="1" applyFill="1" applyBorder="1" applyAlignment="1">
      <alignment horizontal="center" vertical="center"/>
    </xf>
    <xf numFmtId="3" fontId="116" fillId="51" borderId="143" xfId="67" applyNumberFormat="1" applyFont="1" applyFill="1" applyBorder="1" applyAlignment="1">
      <alignment horizontal="center" vertical="center"/>
    </xf>
    <xf numFmtId="3" fontId="126" fillId="48" borderId="142" xfId="67" applyNumberFormat="1" applyFont="1" applyFill="1" applyBorder="1" applyAlignment="1">
      <alignment horizontal="center" vertical="center"/>
    </xf>
    <xf numFmtId="3" fontId="116" fillId="51" borderId="142" xfId="0" applyNumberFormat="1" applyFont="1" applyFill="1" applyBorder="1" applyAlignment="1">
      <alignment horizontal="center" vertical="center"/>
    </xf>
    <xf numFmtId="3" fontId="116" fillId="51" borderId="143" xfId="0" applyNumberFormat="1" applyFont="1" applyFill="1" applyBorder="1" applyAlignment="1">
      <alignment horizontal="center" vertical="center"/>
    </xf>
    <xf numFmtId="3" fontId="116" fillId="51" borderId="144" xfId="0" applyNumberFormat="1" applyFont="1" applyFill="1" applyBorder="1" applyAlignment="1">
      <alignment horizontal="center" vertical="center"/>
    </xf>
    <xf numFmtId="0" fontId="116" fillId="51" borderId="143" xfId="0" applyFont="1" applyFill="1" applyBorder="1" applyAlignment="1">
      <alignment horizontal="center" vertical="center"/>
    </xf>
    <xf numFmtId="1" fontId="116" fillId="51" borderId="30" xfId="0" applyNumberFormat="1" applyFont="1" applyFill="1" applyBorder="1" applyAlignment="1">
      <alignment horizontal="center" vertical="center"/>
    </xf>
    <xf numFmtId="3" fontId="116" fillId="51" borderId="31" xfId="67" applyNumberFormat="1" applyFont="1" applyFill="1" applyBorder="1" applyAlignment="1">
      <alignment horizontal="center" vertical="center"/>
    </xf>
    <xf numFmtId="3" fontId="116" fillId="0" borderId="49" xfId="0" applyNumberFormat="1" applyFont="1" applyBorder="1" applyAlignment="1">
      <alignment horizontal="center"/>
    </xf>
    <xf numFmtId="3" fontId="126" fillId="0" borderId="49" xfId="0" applyNumberFormat="1" applyFont="1" applyBorder="1" applyAlignment="1">
      <alignment horizontal="center"/>
    </xf>
    <xf numFmtId="3" fontId="126" fillId="0" borderId="49" xfId="0" applyNumberFormat="1" applyFont="1" applyBorder="1" applyAlignment="1">
      <alignment horizontal="center" vertical="center"/>
    </xf>
    <xf numFmtId="9" fontId="126" fillId="0" borderId="49" xfId="0" applyNumberFormat="1" applyFont="1" applyBorder="1" applyAlignment="1">
      <alignment horizontal="center" vertical="center"/>
    </xf>
    <xf numFmtId="9" fontId="116" fillId="0" borderId="49" xfId="0" applyNumberFormat="1" applyFont="1" applyBorder="1" applyAlignment="1">
      <alignment horizontal="center" vertical="center"/>
    </xf>
    <xf numFmtId="9" fontId="145" fillId="0" borderId="51" xfId="0" applyNumberFormat="1" applyFont="1" applyBorder="1" applyAlignment="1">
      <alignment horizontal="center" vertical="center"/>
    </xf>
    <xf numFmtId="3" fontId="126" fillId="0" borderId="112" xfId="0" applyNumberFormat="1" applyFont="1" applyBorder="1" applyAlignment="1">
      <alignment horizontal="center" vertical="center"/>
    </xf>
    <xf numFmtId="3" fontId="116" fillId="0" borderId="49" xfId="0" applyNumberFormat="1" applyFont="1" applyBorder="1" applyAlignment="1">
      <alignment horizontal="center" vertical="center"/>
    </xf>
    <xf numFmtId="3" fontId="126" fillId="0" borderId="145" xfId="67" applyNumberFormat="1" applyFont="1" applyBorder="1" applyAlignment="1">
      <alignment horizontal="center" vertical="center"/>
    </xf>
    <xf numFmtId="3" fontId="151" fillId="0" borderId="49" xfId="0" applyNumberFormat="1" applyFont="1" applyBorder="1" applyAlignment="1">
      <alignment horizontal="center" vertical="center"/>
    </xf>
    <xf numFmtId="1" fontId="116" fillId="0" borderId="49" xfId="0" applyNumberFormat="1" applyFont="1" applyBorder="1" applyAlignment="1">
      <alignment horizontal="center" vertical="center"/>
    </xf>
    <xf numFmtId="1" fontId="135" fillId="0" borderId="49" xfId="0" applyNumberFormat="1" applyFont="1" applyBorder="1" applyAlignment="1">
      <alignment horizontal="center" vertical="center"/>
    </xf>
    <xf numFmtId="2" fontId="116" fillId="0" borderId="49" xfId="0" applyNumberFormat="1" applyFont="1" applyBorder="1" applyAlignment="1">
      <alignment horizontal="center" vertical="center"/>
    </xf>
    <xf numFmtId="1" fontId="116" fillId="0" borderId="102" xfId="0" applyNumberFormat="1" applyFont="1" applyBorder="1" applyAlignment="1">
      <alignment horizontal="center" vertical="center"/>
    </xf>
    <xf numFmtId="1" fontId="116" fillId="0" borderId="106" xfId="0" applyNumberFormat="1" applyFont="1" applyBorder="1" applyAlignment="1">
      <alignment horizontal="center" vertical="center"/>
    </xf>
    <xf numFmtId="1" fontId="116" fillId="0" borderId="98" xfId="0" applyNumberFormat="1" applyFont="1" applyBorder="1" applyAlignment="1">
      <alignment horizontal="center" vertical="center" wrapText="1"/>
    </xf>
    <xf numFmtId="1" fontId="116" fillId="0" borderId="98" xfId="0" applyNumberFormat="1" applyFont="1" applyBorder="1" applyAlignment="1">
      <alignment horizontal="center" vertical="center"/>
    </xf>
    <xf numFmtId="3" fontId="116" fillId="0" borderId="49" xfId="186" applyNumberFormat="1" applyFont="1" applyBorder="1" applyAlignment="1">
      <alignment horizontal="center"/>
    </xf>
    <xf numFmtId="3" fontId="116" fillId="0" borderId="51" xfId="186" applyNumberFormat="1" applyFont="1" applyBorder="1" applyAlignment="1">
      <alignment horizontal="center"/>
    </xf>
    <xf numFmtId="0" fontId="126" fillId="0" borderId="49" xfId="186" applyFont="1" applyBorder="1" applyAlignment="1">
      <alignment horizontal="center"/>
    </xf>
    <xf numFmtId="3" fontId="116" fillId="0" borderId="49" xfId="0" applyNumberFormat="1" applyFont="1" applyBorder="1" applyAlignment="1">
      <alignment horizontal="center" vertical="center" wrapText="1"/>
    </xf>
    <xf numFmtId="3" fontId="116" fillId="0" borderId="51" xfId="0" applyNumberFormat="1" applyFont="1" applyBorder="1" applyAlignment="1">
      <alignment horizontal="center" vertical="center" wrapText="1"/>
    </xf>
    <xf numFmtId="3" fontId="126" fillId="0" borderId="102" xfId="0" applyNumberFormat="1" applyFont="1" applyBorder="1" applyAlignment="1">
      <alignment horizontal="center" vertical="center"/>
    </xf>
    <xf numFmtId="3" fontId="116" fillId="0" borderId="106" xfId="0" applyNumberFormat="1" applyFont="1" applyBorder="1" applyAlignment="1">
      <alignment horizontal="center" vertical="center"/>
    </xf>
    <xf numFmtId="3" fontId="116" fillId="0" borderId="51" xfId="0" applyNumberFormat="1" applyFont="1" applyBorder="1" applyAlignment="1">
      <alignment horizontal="center" vertical="center"/>
    </xf>
    <xf numFmtId="4" fontId="116" fillId="0" borderId="49" xfId="0" applyNumberFormat="1" applyFont="1" applyBorder="1" applyAlignment="1">
      <alignment horizontal="center" vertical="center"/>
    </xf>
    <xf numFmtId="199" fontId="116" fillId="0" borderId="51" xfId="0" applyNumberFormat="1" applyFont="1" applyBorder="1" applyAlignment="1">
      <alignment horizontal="center" vertical="center"/>
    </xf>
    <xf numFmtId="0" fontId="116" fillId="0" borderId="49" xfId="0" applyFont="1" applyBorder="1" applyAlignment="1">
      <alignment horizontal="center" vertical="center" wrapText="1"/>
    </xf>
    <xf numFmtId="0" fontId="116" fillId="0" borderId="51" xfId="0" applyFont="1" applyBorder="1" applyAlignment="1">
      <alignment horizontal="center" vertical="center" wrapText="1"/>
    </xf>
    <xf numFmtId="15" fontId="164" fillId="0" borderId="146" xfId="186" applyNumberFormat="1" applyFont="1" applyBorder="1" applyAlignment="1">
      <alignment horizontal="center" vertical="center"/>
    </xf>
    <xf numFmtId="10" fontId="126" fillId="48" borderId="0" xfId="132" applyNumberFormat="1" applyFont="1" applyFill="1" applyBorder="1" applyAlignment="1">
      <alignment horizontal="center" vertical="center"/>
    </xf>
    <xf numFmtId="170" fontId="121" fillId="0" borderId="0" xfId="184" applyNumberFormat="1" applyFont="1" applyAlignment="1">
      <alignment horizontal="left" vertical="center"/>
    </xf>
    <xf numFmtId="43" fontId="46" fillId="0" borderId="0" xfId="187" applyFont="1"/>
    <xf numFmtId="43" fontId="171" fillId="0" borderId="0" xfId="187" applyFont="1" applyAlignment="1">
      <alignment vertical="center"/>
    </xf>
    <xf numFmtId="43" fontId="47" fillId="0" borderId="0" xfId="187" applyFont="1" applyAlignment="1">
      <alignment vertical="center"/>
    </xf>
    <xf numFmtId="205" fontId="46" fillId="0" borderId="0" xfId="0" applyNumberFormat="1" applyFont="1" applyAlignment="1">
      <alignment vertical="center"/>
    </xf>
    <xf numFmtId="3" fontId="56" fillId="0" borderId="0" xfId="184" applyNumberFormat="1" applyFont="1"/>
    <xf numFmtId="10" fontId="56" fillId="0" borderId="0" xfId="132" applyNumberFormat="1" applyFont="1"/>
    <xf numFmtId="9" fontId="45" fillId="0" borderId="0" xfId="132" applyFont="1"/>
    <xf numFmtId="0" fontId="132" fillId="0" borderId="0" xfId="68" applyFont="1" applyAlignment="1">
      <alignment horizontal="left" vertical="center" wrapText="1"/>
    </xf>
    <xf numFmtId="0" fontId="131" fillId="0" borderId="0" xfId="68" applyFont="1" applyAlignment="1">
      <alignment horizontal="left" vertical="center" wrapText="1"/>
    </xf>
    <xf numFmtId="0" fontId="132" fillId="0" borderId="0" xfId="184" applyFont="1" applyAlignment="1">
      <alignment horizontal="justify" vertical="top" wrapText="1"/>
    </xf>
    <xf numFmtId="0" fontId="114" fillId="0" borderId="37" xfId="68" applyFont="1" applyBorder="1" applyAlignment="1">
      <alignment horizontal="center" vertical="center"/>
    </xf>
    <xf numFmtId="0" fontId="129" fillId="34" borderId="0" xfId="0" applyFont="1" applyFill="1" applyAlignment="1">
      <alignment horizontal="left" vertical="center" wrapText="1"/>
    </xf>
    <xf numFmtId="0" fontId="141" fillId="46" borderId="0" xfId="184" applyFont="1" applyFill="1" applyAlignment="1">
      <alignment horizontal="center" vertical="center"/>
    </xf>
    <xf numFmtId="0" fontId="115" fillId="34" borderId="0" xfId="0" applyFont="1" applyFill="1" applyAlignment="1">
      <alignment horizontal="left" vertical="center" wrapText="1"/>
    </xf>
    <xf numFmtId="0" fontId="115" fillId="0" borderId="0" xfId="184" applyFont="1" applyAlignment="1">
      <alignment horizontal="left" vertical="center" wrapText="1"/>
    </xf>
    <xf numFmtId="0" fontId="115" fillId="0" borderId="0" xfId="0" applyFont="1" applyAlignment="1">
      <alignment horizontal="left" vertical="center" wrapText="1"/>
    </xf>
    <xf numFmtId="0" fontId="148" fillId="46" borderId="0" xfId="0" applyFont="1" applyFill="1" applyAlignment="1">
      <alignment vertical="center"/>
    </xf>
    <xf numFmtId="0" fontId="115" fillId="34" borderId="0" xfId="0" applyFont="1" applyFill="1" applyAlignment="1">
      <alignment horizontal="left" vertical="top" wrapText="1"/>
    </xf>
    <xf numFmtId="0" fontId="169" fillId="34" borderId="0" xfId="0" applyFont="1" applyFill="1" applyAlignment="1">
      <alignment horizontal="left" vertical="center" wrapText="1"/>
    </xf>
    <xf numFmtId="0" fontId="116" fillId="51" borderId="40" xfId="0" applyFont="1" applyFill="1" applyBorder="1" applyAlignment="1">
      <alignment horizontal="left" vertical="center" wrapText="1"/>
    </xf>
    <xf numFmtId="0" fontId="115" fillId="51" borderId="40" xfId="0" applyFont="1" applyFill="1" applyBorder="1" applyAlignment="1">
      <alignment horizontal="left" vertical="center" wrapText="1"/>
    </xf>
    <xf numFmtId="0" fontId="116" fillId="51" borderId="100" xfId="0" applyFont="1" applyFill="1" applyBorder="1" applyAlignment="1">
      <alignment horizontal="left" vertical="center" wrapText="1"/>
    </xf>
    <xf numFmtId="0" fontId="115" fillId="51" borderId="104" xfId="0" applyFont="1" applyFill="1" applyBorder="1" applyAlignment="1">
      <alignment horizontal="left" vertical="center" wrapText="1"/>
    </xf>
    <xf numFmtId="0" fontId="116" fillId="51" borderId="104" xfId="0" applyFont="1" applyFill="1" applyBorder="1" applyAlignment="1">
      <alignment horizontal="left" vertical="center" wrapText="1"/>
    </xf>
    <xf numFmtId="0" fontId="115" fillId="0" borderId="0" xfId="0" applyFont="1" applyAlignment="1">
      <alignment horizontal="left" vertical="top" wrapText="1"/>
    </xf>
    <xf numFmtId="0" fontId="115" fillId="0" borderId="0" xfId="0" applyFont="1" applyAlignment="1">
      <alignment vertical="center" wrapText="1"/>
    </xf>
    <xf numFmtId="0" fontId="0" fillId="0" borderId="0" xfId="0"/>
    <xf numFmtId="0" fontId="160" fillId="0" borderId="0" xfId="184" applyFont="1" applyAlignment="1">
      <alignment horizontal="left" vertical="top" wrapText="1"/>
    </xf>
    <xf numFmtId="0" fontId="115" fillId="0" borderId="0" xfId="186" applyFont="1" applyAlignment="1">
      <alignment horizontal="left" vertical="center" wrapText="1" shrinkToFit="1"/>
    </xf>
    <xf numFmtId="0" fontId="115" fillId="0" borderId="0" xfId="0" applyFont="1"/>
    <xf numFmtId="179" fontId="115" fillId="0" borderId="0" xfId="186" applyNumberFormat="1" applyFont="1" applyAlignment="1">
      <alignment horizontal="left" vertical="center" wrapText="1" shrinkToFit="1"/>
    </xf>
    <xf numFmtId="0" fontId="165" fillId="0" borderId="0" xfId="184" applyFont="1" applyAlignment="1">
      <alignment horizontal="left" vertical="top" wrapText="1"/>
    </xf>
    <xf numFmtId="179" fontId="115" fillId="0" borderId="0" xfId="186" applyNumberFormat="1" applyFont="1" applyAlignment="1">
      <alignment horizontal="left" vertical="top" wrapText="1" shrinkToFit="1"/>
    </xf>
    <xf numFmtId="0" fontId="115" fillId="0" borderId="0" xfId="0" applyFont="1" applyAlignment="1">
      <alignment horizontal="left" vertical="top"/>
    </xf>
  </cellXfs>
  <cellStyles count="354">
    <cellStyle name="_ΜΕΡΙΔΙΑ ΤΡΑΠΕΖΙΚΗΣ ΑΓΟΡΑΣ" xfId="1" xr:uid="{00000000-0005-0000-0000-000000000000}"/>
    <cellStyle name="20% - Accent1 2" xfId="189" xr:uid="{F251F079-024A-4F2B-B248-8240A76249B6}"/>
    <cellStyle name="20% - Accent2 2" xfId="190" xr:uid="{402267D9-EC5C-4BE7-80B8-A86140BFC281}"/>
    <cellStyle name="20% - Accent3 2" xfId="191" xr:uid="{69ECA58B-219F-459A-A503-4CF956CE5AE3}"/>
    <cellStyle name="20% - Accent4 2" xfId="192" xr:uid="{2B673D3D-608A-4E0A-A7FB-E9B981630040}"/>
    <cellStyle name="20% - Accent5 2" xfId="193" xr:uid="{5A57DAC9-5A02-4076-BD43-66E24452157B}"/>
    <cellStyle name="20% - Accent6 2" xfId="194" xr:uid="{936490FA-6362-4289-A620-FA9A00D557F3}"/>
    <cellStyle name="20% - Énfasis1 2" xfId="290" xr:uid="{6B0FCA09-8146-425E-942C-8C7BD9EFE951}"/>
    <cellStyle name="20% - Énfasis2 2" xfId="291" xr:uid="{DC5579EE-6D31-4144-9978-C722BCDDB732}"/>
    <cellStyle name="20% - Énfasis3 2" xfId="292" xr:uid="{B0D33EB0-ADDB-4B66-9FF5-89029FEA30D4}"/>
    <cellStyle name="20% - Énfasis4 2" xfId="293" xr:uid="{F999C4C7-37DC-43D3-A32C-0A93B932C555}"/>
    <cellStyle name="20% - Énfasis5 2" xfId="294" xr:uid="{164F7FE8-B9F6-46EB-9A1A-EB8E1AAAD8A4}"/>
    <cellStyle name="20% - Énfasis6 2" xfId="295" xr:uid="{877BB7BA-2286-410F-A245-08AEA7DD9B9A}"/>
    <cellStyle name="20% - Έμφαση1" xfId="2" xr:uid="{00000000-0005-0000-0000-000001000000}"/>
    <cellStyle name="20% - Έμφαση2" xfId="3" xr:uid="{00000000-0005-0000-0000-000002000000}"/>
    <cellStyle name="20% - Έμφαση3" xfId="4" xr:uid="{00000000-0005-0000-0000-000003000000}"/>
    <cellStyle name="20% - Έμφαση4" xfId="5" xr:uid="{00000000-0005-0000-0000-000004000000}"/>
    <cellStyle name="20% - Έμφαση5" xfId="6" xr:uid="{00000000-0005-0000-0000-000005000000}"/>
    <cellStyle name="20% - Έμφαση6" xfId="7" xr:uid="{00000000-0005-0000-0000-000006000000}"/>
    <cellStyle name="40% - Accent1 2" xfId="195" xr:uid="{62626E5A-EFB9-435B-8790-9D7748951A49}"/>
    <cellStyle name="40% - Accent2 2" xfId="196" xr:uid="{DF6B0AD4-038E-4420-A11D-61D20A94D3A2}"/>
    <cellStyle name="40% - Accent3 2" xfId="197" xr:uid="{2CBB0B32-4A9F-4FB8-A397-66B64FF8317F}"/>
    <cellStyle name="40% - Accent4 2" xfId="198" xr:uid="{CB9678B4-E0EF-42A7-95F4-5124D0E12492}"/>
    <cellStyle name="40% - Accent5 2" xfId="199" xr:uid="{62FE6B18-441E-4F3D-AC6E-A29EA14632CC}"/>
    <cellStyle name="40% - Accent6 2" xfId="200" xr:uid="{33349093-A47A-4A93-903A-0201B492DA13}"/>
    <cellStyle name="40% - Énfasis1 2" xfId="296" xr:uid="{82D14BAE-43A6-4B41-A49C-7DE2D94CD669}"/>
    <cellStyle name="40% - Énfasis2 2" xfId="297" xr:uid="{C6809D7C-AC64-4503-B4F6-518B5B2D88AA}"/>
    <cellStyle name="40% - Énfasis3 2" xfId="298" xr:uid="{F111ECF3-2433-46B9-B8DC-E68751579661}"/>
    <cellStyle name="40% - Énfasis4 2" xfId="299" xr:uid="{372A998B-2FD4-4A1F-AEF5-E2194B19A8E6}"/>
    <cellStyle name="40% - Énfasis5 2" xfId="300" xr:uid="{AB8BEE18-392E-4BE6-BB9F-296A1614CB60}"/>
    <cellStyle name="40% - Énfasis6 2" xfId="301" xr:uid="{BB78DF3F-BC5D-4686-9D7F-84E6326E1141}"/>
    <cellStyle name="40% - Έμφαση1" xfId="8" xr:uid="{00000000-0005-0000-0000-000007000000}"/>
    <cellStyle name="40% - Έμφαση2" xfId="9" xr:uid="{00000000-0005-0000-0000-000008000000}"/>
    <cellStyle name="40% - Έμφαση3" xfId="10" xr:uid="{00000000-0005-0000-0000-000009000000}"/>
    <cellStyle name="40% - Έμφαση4" xfId="11" xr:uid="{00000000-0005-0000-0000-00000A000000}"/>
    <cellStyle name="40% - Έμφαση5" xfId="12" xr:uid="{00000000-0005-0000-0000-00000B000000}"/>
    <cellStyle name="40% - Έμφαση6" xfId="13" xr:uid="{00000000-0005-0000-0000-00000C000000}"/>
    <cellStyle name="60% - Accent1 2" xfId="201" xr:uid="{6747AD37-3A86-44FC-A73C-2C81F15F5BF4}"/>
    <cellStyle name="60% - Accent2 2" xfId="202" xr:uid="{8257C9ED-B622-41DE-8767-B0FB7EA51D47}"/>
    <cellStyle name="60% - Accent3 2" xfId="203" xr:uid="{C8E38F5C-784E-4572-90FC-E6F9513E8053}"/>
    <cellStyle name="60% - Accent4 2" xfId="204" xr:uid="{B491124E-481B-48D8-9553-F6CA4A9BA6FD}"/>
    <cellStyle name="60% - Accent5 2" xfId="205" xr:uid="{FB4889AA-B2A3-4491-BDB4-F43E2A416595}"/>
    <cellStyle name="60% - Accent6 2" xfId="206" xr:uid="{E697CB78-5BDA-4E8E-A51D-843A1BB48E82}"/>
    <cellStyle name="60% - Énfasis1 2" xfId="302" xr:uid="{1B27A5F1-FE71-4EBF-8395-F32B1A945D2B}"/>
    <cellStyle name="60% - Énfasis2 2" xfId="303" xr:uid="{7A8D54EE-019A-4D3B-B480-28583DA5F206}"/>
    <cellStyle name="60% - Énfasis3 2" xfId="304" xr:uid="{D0D5850C-93D0-433A-8FE6-DB93474FBCD1}"/>
    <cellStyle name="60% - Énfasis4 2" xfId="305" xr:uid="{87B63345-DA2A-45A2-8C1D-DED71AB11C1D}"/>
    <cellStyle name="60% - Énfasis5 2" xfId="306" xr:uid="{4363EE54-E45C-4465-8275-A6E9EB13BF5B}"/>
    <cellStyle name="60% - Énfasis6 2" xfId="307" xr:uid="{D712C3FC-FF69-4B77-B076-43112E2DC908}"/>
    <cellStyle name="60% - Έμφαση1" xfId="14" xr:uid="{00000000-0005-0000-0000-00000D000000}"/>
    <cellStyle name="60% - Έμφαση2" xfId="15" xr:uid="{00000000-0005-0000-0000-00000E000000}"/>
    <cellStyle name="60% - Έμφαση3" xfId="16" xr:uid="{00000000-0005-0000-0000-00000F000000}"/>
    <cellStyle name="60% - Έμφαση4" xfId="17" xr:uid="{00000000-0005-0000-0000-000010000000}"/>
    <cellStyle name="60% - Έμφαση5" xfId="18" xr:uid="{00000000-0005-0000-0000-000011000000}"/>
    <cellStyle name="60% - Έμφαση6" xfId="19" xr:uid="{00000000-0005-0000-0000-000012000000}"/>
    <cellStyle name="Accent1 2" xfId="207" xr:uid="{1DE93CA7-99F6-4E05-90D0-7070E37724EC}"/>
    <cellStyle name="Accent2 2" xfId="208" xr:uid="{CF9B51F0-4D22-49F4-BB97-C0EA3037FC5F}"/>
    <cellStyle name="Accent3 2" xfId="209" xr:uid="{80922F36-B125-42FC-BC9E-72FDDE0926F3}"/>
    <cellStyle name="Accent4 2" xfId="210" xr:uid="{17176ADB-5118-42D4-B3C8-F175CFC3BF75}"/>
    <cellStyle name="Accent5 2" xfId="211" xr:uid="{2EAC8624-6F82-4168-BF56-0281D61B1750}"/>
    <cellStyle name="Accent6 2" xfId="212" xr:uid="{B0BAA119-EBF7-486E-A65B-D29A2BEB0C16}"/>
    <cellStyle name="Bé" xfId="213" xr:uid="{B3C288ED-1B01-48F1-BCED-F8779D04DD2A}"/>
    <cellStyle name="Buena 2" xfId="308" xr:uid="{3D090261-D66F-4FB9-B9F1-7ADCF3FF5630}"/>
    <cellStyle name="Càlcul" xfId="214" xr:uid="{6539A578-0DDE-4169-B5A1-8736BF6A22DA}"/>
    <cellStyle name="Càlcul 2" xfId="345" xr:uid="{2B9E7BA1-0F57-497E-9AE5-C29A2D64EBF1}"/>
    <cellStyle name="Cálculo 2" xfId="309" xr:uid="{9D2DA857-90BD-4784-B288-335C5E70717F}"/>
    <cellStyle name="Cálculo 2 2" xfId="348" xr:uid="{9D3F7872-AC1A-4219-B76D-FACA050FA054}"/>
    <cellStyle name="Cel·la de comprovació" xfId="215" xr:uid="{0E69E43A-25E1-4D91-8B65-594F4FD8CADA}"/>
    <cellStyle name="Cel·la enllaçada" xfId="216" xr:uid="{65F70AEA-D71A-46C2-8462-C769128E0EB9}"/>
    <cellStyle name="Celda de comprobación 2" xfId="310" xr:uid="{6B821160-7FE6-431F-ACC7-C83BF5756B75}"/>
    <cellStyle name="Celda vinculada 2" xfId="311" xr:uid="{6C6175E3-7950-4264-BA48-E80EC2026CDE}"/>
    <cellStyle name="Comma" xfId="187" builtinId="3"/>
    <cellStyle name="Comma 2" xfId="353" xr:uid="{E5B0923A-9BC6-484A-A0B7-898EE3ED8FE2}"/>
    <cellStyle name="Comma 2 2" xfId="20" xr:uid="{00000000-0005-0000-0000-000014000000}"/>
    <cellStyle name="Comma0" xfId="21" xr:uid="{00000000-0005-0000-0000-000015000000}"/>
    <cellStyle name="Date" xfId="22" xr:uid="{00000000-0005-0000-0000-000016000000}"/>
    <cellStyle name="Dezimal [0]_1999" xfId="23" xr:uid="{00000000-0005-0000-0000-000017000000}"/>
    <cellStyle name="Dezimal_0111hufag" xfId="24" xr:uid="{00000000-0005-0000-0000-000018000000}"/>
    <cellStyle name="Encabezado 4 2" xfId="312" xr:uid="{AEA28409-DE54-406B-98CE-9CAC56459784}"/>
    <cellStyle name="Énfasis1 2" xfId="313" xr:uid="{DFA7B4E7-B49E-4275-BB0C-D0EF00E12384}"/>
    <cellStyle name="Énfasis2 2" xfId="314" xr:uid="{83ECC219-94FF-4020-BC6E-01581ADC3E26}"/>
    <cellStyle name="Énfasis3 2" xfId="315" xr:uid="{2AF4822D-1D05-4A13-901F-41AD6AC2F23A}"/>
    <cellStyle name="Énfasis4 2" xfId="316" xr:uid="{F90D823C-F454-41A1-9BC4-557F1B93DACA}"/>
    <cellStyle name="Énfasis5 2" xfId="317" xr:uid="{874FC357-7C40-4606-86CF-8C1DFAD0715E}"/>
    <cellStyle name="Énfasis6 2" xfId="318" xr:uid="{70635C51-702E-4221-BAA3-468DB158CA5E}"/>
    <cellStyle name="Entrada 2" xfId="319" xr:uid="{7019CA07-6DE4-4945-9AD7-0C57EC735A33}"/>
    <cellStyle name="Entrada 2 2" xfId="349" xr:uid="{C0DA7B64-1C3D-4C32-B9A5-176D853A7B3E}"/>
    <cellStyle name="Euro" xfId="25" xr:uid="{00000000-0005-0000-0000-000019000000}"/>
    <cellStyle name="Euro 2" xfId="217" xr:uid="{62DAED2B-285F-4AF3-BC7A-7CD507E5FE86}"/>
    <cellStyle name="F2" xfId="26" xr:uid="{00000000-0005-0000-0000-00001A000000}"/>
    <cellStyle name="F3" xfId="27" xr:uid="{00000000-0005-0000-0000-00001B000000}"/>
    <cellStyle name="F4" xfId="28" xr:uid="{00000000-0005-0000-0000-00001C000000}"/>
    <cellStyle name="F5" xfId="29" xr:uid="{00000000-0005-0000-0000-00001D000000}"/>
    <cellStyle name="F6" xfId="30" xr:uid="{00000000-0005-0000-0000-00001E000000}"/>
    <cellStyle name="F7" xfId="31" xr:uid="{00000000-0005-0000-0000-00001F000000}"/>
    <cellStyle name="F8" xfId="32" xr:uid="{00000000-0005-0000-0000-000020000000}"/>
    <cellStyle name="Fixed" xfId="33" xr:uid="{00000000-0005-0000-0000-000021000000}"/>
    <cellStyle name="Followed Hyperlink" xfId="34" builtinId="9"/>
    <cellStyle name="Gen_Black" xfId="35" xr:uid="{00000000-0005-0000-0000-000023000000}"/>
    <cellStyle name="gs]_x000d__x000a_Window=0,0,640,480, , ,3_x000d__x000a_dir1=5,7,637,250,-1,-1,1,30,201,1905,231,G:\UGRC\RB\B-DADOS\FOX-PRO\CRED-VEN\KP" xfId="36" xr:uid="{00000000-0005-0000-0000-000024000000}"/>
    <cellStyle name="Heading1" xfId="37" xr:uid="{00000000-0005-0000-0000-000025000000}"/>
    <cellStyle name="Heading2" xfId="38" xr:uid="{00000000-0005-0000-0000-000026000000}"/>
    <cellStyle name="Hyperlink" xfId="39" builtinId="8"/>
    <cellStyle name="Hyperlink 2" xfId="289" xr:uid="{7343E25B-3D34-4701-97C1-9EC6E866D027}"/>
    <cellStyle name="Incorrecte" xfId="218" xr:uid="{3A47BEDA-C9FC-45E8-BA9D-F0B38BBEADF9}"/>
    <cellStyle name="Incorrecto 2" xfId="320" xr:uid="{8714F20D-B91F-459D-8645-427F7A6D2D66}"/>
    <cellStyle name="Millares 2" xfId="219" xr:uid="{47CFFB67-16E1-4A53-A505-1D4AF9D0A8FE}"/>
    <cellStyle name="Millares 3" xfId="220" xr:uid="{9292156B-4DEA-4A06-9D03-D216A96C415F}"/>
    <cellStyle name="Milliers [0]_3A_NumeratorReport_Option1_040611" xfId="40" xr:uid="{00000000-0005-0000-0000-000028000000}"/>
    <cellStyle name="Milliers_3A_NumeratorReport_Option1_040611" xfId="41" xr:uid="{00000000-0005-0000-0000-000029000000}"/>
    <cellStyle name="Moeda [0]_1.1  ANEXO 1" xfId="42" xr:uid="{00000000-0005-0000-0000-00002A000000}"/>
    <cellStyle name="Moeda_1.1  ANEXO 1" xfId="43" xr:uid="{00000000-0005-0000-0000-00002B000000}"/>
    <cellStyle name="Monétaire [0]_3A_NumeratorReport_Option1_040611" xfId="44" xr:uid="{00000000-0005-0000-0000-00002C000000}"/>
    <cellStyle name="Monétaire_3A_NumeratorReport_Option1_040611" xfId="45" xr:uid="{00000000-0005-0000-0000-00002D000000}"/>
    <cellStyle name="Neutral 2" xfId="321" xr:uid="{70394ADD-8ED4-40F9-873E-3D09AA86B259}"/>
    <cellStyle name="No-definido" xfId="221" xr:uid="{A81D0B5A-CF85-4539-A85A-4FF72B8B944D}"/>
    <cellStyle name="Normal" xfId="0" builtinId="0"/>
    <cellStyle name="Normal 10" xfId="46" xr:uid="{00000000-0005-0000-0000-00002F000000}"/>
    <cellStyle name="Normal 10 2" xfId="222" xr:uid="{67784CB4-FD19-4B6B-8FC6-3C36BCA2B0F4}"/>
    <cellStyle name="Normal 11" xfId="47" xr:uid="{00000000-0005-0000-0000-000030000000}"/>
    <cellStyle name="Normal 11 2" xfId="223" xr:uid="{4E604F71-55A4-47CE-A7F7-788BA7FB26D0}"/>
    <cellStyle name="Normal 12" xfId="48" xr:uid="{00000000-0005-0000-0000-000031000000}"/>
    <cellStyle name="Normal 12 2" xfId="224" xr:uid="{2DFE48E0-DFFA-48E8-87AA-9024976CB9F5}"/>
    <cellStyle name="Normal 13" xfId="49" xr:uid="{00000000-0005-0000-0000-000032000000}"/>
    <cellStyle name="Normal 13 2" xfId="225" xr:uid="{9F66D035-9CD5-4D8A-824F-689DB69CBDC2}"/>
    <cellStyle name="Normal 14" xfId="50" xr:uid="{00000000-0005-0000-0000-000033000000}"/>
    <cellStyle name="Normal 14 2" xfId="226" xr:uid="{0CEC90A7-F46D-46C8-B2A8-CF7E00F86FBB}"/>
    <cellStyle name="Normal 15" xfId="51" xr:uid="{00000000-0005-0000-0000-000034000000}"/>
    <cellStyle name="Normal 15 2" xfId="227" xr:uid="{FA11DBAF-B035-40C0-A4B1-E1063066884D}"/>
    <cellStyle name="Normal 16" xfId="178" xr:uid="{00000000-0005-0000-0000-000035000000}"/>
    <cellStyle name="Normal 16 2" xfId="229" xr:uid="{B180965C-F8EA-480B-A216-4A85B41C38FB}"/>
    <cellStyle name="Normal 16 3" xfId="228" xr:uid="{0C9BD021-D2CF-411B-867A-B909C37AA516}"/>
    <cellStyle name="Normal 17" xfId="186" xr:uid="{00000000-0005-0000-0000-000036000000}"/>
    <cellStyle name="Normal 17 2" xfId="231" xr:uid="{DFE46B97-0DC7-46D8-B346-1CB8AD6D023E}"/>
    <cellStyle name="Normal 17 3" xfId="230" xr:uid="{A3D88E99-6EFC-44AD-9A3A-07CE04A17B04}"/>
    <cellStyle name="Normal 18" xfId="232" xr:uid="{0B937D13-03CC-4726-B5E0-87EDB6A19DF9}"/>
    <cellStyle name="Normal 18 2" xfId="233" xr:uid="{7D8D438F-27A3-423D-98E2-414FCB7911B6}"/>
    <cellStyle name="Normal 18 2 2" xfId="341" xr:uid="{AECADB38-4B2F-432A-863F-0DBDD9F0257C}"/>
    <cellStyle name="Normal 18 3" xfId="331" xr:uid="{A4386136-6C92-4CFE-A6FB-392FCC51FB0C}"/>
    <cellStyle name="Normal 18 4" xfId="288" xr:uid="{73D776C4-570D-420B-9854-6B0B0C929496}"/>
    <cellStyle name="Normal 19" xfId="234" xr:uid="{2F4B468B-FFE0-4AAB-AE63-134D45E11248}"/>
    <cellStyle name="Normal 2" xfId="52" xr:uid="{00000000-0005-0000-0000-000037000000}"/>
    <cellStyle name="Normal 2 2" xfId="53" xr:uid="{00000000-0005-0000-0000-000038000000}"/>
    <cellStyle name="Normal 2 2 2" xfId="237" xr:uid="{21597640-5E74-4E50-85F7-8355BBBC64FD}"/>
    <cellStyle name="Normal 2 2 3" xfId="238" xr:uid="{01E17C71-1906-476D-895F-429145D1A594}"/>
    <cellStyle name="Normal 2 2 4" xfId="236" xr:uid="{25FFEC01-527A-4735-886A-85BA1D2A0276}"/>
    <cellStyle name="Normal 2 3" xfId="54" xr:uid="{00000000-0005-0000-0000-000039000000}"/>
    <cellStyle name="Normal 2 3 2" xfId="239" xr:uid="{491D5DB6-A55E-4165-B4C2-D5D9A7EFAF05}"/>
    <cellStyle name="Normal 2 4" xfId="240" xr:uid="{EBC203A1-FB75-4691-8A01-ECCA1889A744}"/>
    <cellStyle name="Normal 2 5" xfId="241" xr:uid="{8E4B92AF-1985-415C-888B-C72CDDD8FF91}"/>
    <cellStyle name="Normal 2 6" xfId="235" xr:uid="{CE1C2706-345B-4A3E-8821-A9E04AE08B29}"/>
    <cellStyle name="Normal 2_PBG_BUSINESS_PLAN_'11-'14-BASEfinal" xfId="55" xr:uid="{00000000-0005-0000-0000-00003A000000}"/>
    <cellStyle name="Normal 20" xfId="182" xr:uid="{00000000-0005-0000-0000-00003B000000}"/>
    <cellStyle name="Normal 20 2" xfId="242" xr:uid="{FFA94CA5-9A6B-44D6-A316-DB09D9B63B33}"/>
    <cellStyle name="Normal 20 3" xfId="333" xr:uid="{23F09574-2B0C-499D-B0EC-D7258E1891BA}"/>
    <cellStyle name="Normal 20 9" xfId="344" xr:uid="{AF9360E7-D1B9-4F39-8470-BC9BC4186BE5}"/>
    <cellStyle name="Normal 21" xfId="188" xr:uid="{DE5D6731-9A26-41B6-949C-91947627DD1A}"/>
    <cellStyle name="Normal 23" xfId="332" xr:uid="{6D796653-EEF4-4793-9AFA-CBCF326B2CAC}"/>
    <cellStyle name="Normal 26" xfId="243" xr:uid="{D787AC51-D735-4E0C-81F6-55D73BCE0D97}"/>
    <cellStyle name="Normal 3" xfId="56" xr:uid="{00000000-0005-0000-0000-00003C000000}"/>
    <cellStyle name="Normal 3 10" xfId="244" xr:uid="{0A7A840E-3C04-4095-B848-A846D28B65A5}"/>
    <cellStyle name="Normal 3 2" xfId="180" xr:uid="{00000000-0005-0000-0000-00003D000000}"/>
    <cellStyle name="Normal 3 2 2" xfId="245" xr:uid="{8E5911C6-9CBB-4AB2-9FAC-18C32D2EBFC6}"/>
    <cellStyle name="Normal 3 3" xfId="246" xr:uid="{347911A7-4911-449D-B529-71D060171837}"/>
    <cellStyle name="Normal 3 4" xfId="247" xr:uid="{08B128DF-6512-40F8-BC84-9F3C0B3B51C5}"/>
    <cellStyle name="Normal 3 5" xfId="248" xr:uid="{7E8CEEAF-C3DA-472F-AF3B-B2821E67B62B}"/>
    <cellStyle name="Normal 3 6" xfId="249" xr:uid="{CD214EB3-0C74-4E89-AE6B-3EDE5AE3FF9F}"/>
    <cellStyle name="Normal 3 7" xfId="250" xr:uid="{FDCEB656-A0F1-47A6-BD54-7A4423A887CE}"/>
    <cellStyle name="Normal 3 8" xfId="251" xr:uid="{52D0304D-C749-4AAB-A1FC-EA05A6FAB34F}"/>
    <cellStyle name="Normal 3 8 2" xfId="287" xr:uid="{5330D73B-69DE-4951-B687-54B8061E8753}"/>
    <cellStyle name="Normal 3 9" xfId="252" xr:uid="{77CA5D6A-FE78-422B-8C5C-6922D110BECE}"/>
    <cellStyle name="Normal 4" xfId="57" xr:uid="{00000000-0005-0000-0000-00003E000000}"/>
    <cellStyle name="Normal 4 2" xfId="254" xr:uid="{2254B5C6-E5A4-45B2-AE51-4E91315BE54C}"/>
    <cellStyle name="Normal 4 3" xfId="253" xr:uid="{09AE8575-6958-4AF6-8F05-4EEAB7B7C672}"/>
    <cellStyle name="Normal 5" xfId="58" xr:uid="{00000000-0005-0000-0000-00003F000000}"/>
    <cellStyle name="Normal 5 2" xfId="59" xr:uid="{00000000-0005-0000-0000-000040000000}"/>
    <cellStyle name="Normal 5 2 2" xfId="338" xr:uid="{16CB18B2-2A1B-4117-95CD-57412B319E16}"/>
    <cellStyle name="Normal 5 3" xfId="60" xr:uid="{00000000-0005-0000-0000-000041000000}"/>
    <cellStyle name="Normal 5 3 2" xfId="339" xr:uid="{787E39AB-5344-4248-8FAA-DF1C5082F38C}"/>
    <cellStyle name="Normal 5 4" xfId="61" xr:uid="{00000000-0005-0000-0000-000042000000}"/>
    <cellStyle name="Normal 5 5" xfId="255" xr:uid="{2378182A-66F5-4B77-A99C-A7B0F2061721}"/>
    <cellStyle name="Normal 5_PBB_BP_2008_2010_20071115_Final" xfId="62" xr:uid="{00000000-0005-0000-0000-000043000000}"/>
    <cellStyle name="Normal 6" xfId="63" xr:uid="{00000000-0005-0000-0000-000044000000}"/>
    <cellStyle name="Normal 6 2" xfId="257" xr:uid="{BB4AD302-A4D3-4FCE-BA9E-5A021314B94A}"/>
    <cellStyle name="Normal 6 3" xfId="256" xr:uid="{1FE63987-A918-479A-BBB6-B5B1F878C2CC}"/>
    <cellStyle name="Normal 7" xfId="64" xr:uid="{00000000-0005-0000-0000-000045000000}"/>
    <cellStyle name="Normal 7 10" xfId="335" xr:uid="{0FA2CF92-9831-40AD-AE3E-DD5F14FF4F7A}"/>
    <cellStyle name="Normal 7 2" xfId="258" xr:uid="{F9347079-DD98-4901-A34E-1DFE6119AB50}"/>
    <cellStyle name="Normal 8" xfId="65" xr:uid="{00000000-0005-0000-0000-000046000000}"/>
    <cellStyle name="Normal 8 2" xfId="259" xr:uid="{57032396-912B-4089-8B0B-1184847E6477}"/>
    <cellStyle name="Normal 9" xfId="66" xr:uid="{00000000-0005-0000-0000-000047000000}"/>
    <cellStyle name="Normal 9 2" xfId="260" xr:uid="{4DE18167-E20E-432B-9D7E-5495AE659032}"/>
    <cellStyle name="Normal 9 3" xfId="261" xr:uid="{47DB3A79-58AB-4DE8-8970-BA4881471CC5}"/>
    <cellStyle name="Normal_BS analysis" xfId="67" xr:uid="{00000000-0005-0000-0000-000048000000}"/>
    <cellStyle name="Normal_Copy of Divisional_Database_4Q09_website" xfId="68" xr:uid="{00000000-0005-0000-0000-000049000000}"/>
    <cellStyle name="Normal_Copy of Divisional_Database_4Q09_website 2" xfId="184" xr:uid="{00000000-0005-0000-0000-00004A000000}"/>
    <cellStyle name="Nota" xfId="262" xr:uid="{527D973E-83C5-4A0C-9139-5D53357A1343}"/>
    <cellStyle name="Nota 2" xfId="346" xr:uid="{57A455D0-C650-4130-80E0-EA52A8DC579E}"/>
    <cellStyle name="Notas 2" xfId="322" xr:uid="{DF6CD02E-05A9-499E-90D4-28590E3D409A}"/>
    <cellStyle name="Notas 2 2" xfId="350" xr:uid="{94786DE0-A24C-4B25-8027-D832A367C3A4}"/>
    <cellStyle name="OPXArea" xfId="69" xr:uid="{00000000-0005-0000-0000-00004B000000}"/>
    <cellStyle name="OPXButtonBar" xfId="70" xr:uid="{00000000-0005-0000-0000-00004C000000}"/>
    <cellStyle name="OPXHeadingArea" xfId="71" xr:uid="{00000000-0005-0000-0000-00004D000000}"/>
    <cellStyle name="OPXHeadingRange" xfId="72" xr:uid="{00000000-0005-0000-0000-00004E000000}"/>
    <cellStyle name="OPXHeadingWorkbook" xfId="73" xr:uid="{00000000-0005-0000-0000-00004F000000}"/>
    <cellStyle name="OPXInDate" xfId="74" xr:uid="{00000000-0005-0000-0000-000050000000}"/>
    <cellStyle name="OPXInFmat1" xfId="75" xr:uid="{00000000-0005-0000-0000-000051000000}"/>
    <cellStyle name="OPXInFmat10" xfId="76" xr:uid="{00000000-0005-0000-0000-000052000000}"/>
    <cellStyle name="OPXInFmat11" xfId="77" xr:uid="{00000000-0005-0000-0000-000053000000}"/>
    <cellStyle name="OPXInFmat2" xfId="78" xr:uid="{00000000-0005-0000-0000-000054000000}"/>
    <cellStyle name="OPXInFmat23" xfId="79" xr:uid="{00000000-0005-0000-0000-000055000000}"/>
    <cellStyle name="OPXInFmat25" xfId="80" xr:uid="{00000000-0005-0000-0000-000056000000}"/>
    <cellStyle name="OPXInFmat26" xfId="81" xr:uid="{00000000-0005-0000-0000-000057000000}"/>
    <cellStyle name="OPXInFmat27" xfId="82" xr:uid="{00000000-0005-0000-0000-000058000000}"/>
    <cellStyle name="OPXInFmat5" xfId="83" xr:uid="{00000000-0005-0000-0000-000059000000}"/>
    <cellStyle name="OPXInFmat6" xfId="84" xr:uid="{00000000-0005-0000-0000-00005A000000}"/>
    <cellStyle name="OPXInFmat7" xfId="85" xr:uid="{00000000-0005-0000-0000-00005B000000}"/>
    <cellStyle name="OPXInFmat8" xfId="86" xr:uid="{00000000-0005-0000-0000-00005C000000}"/>
    <cellStyle name="OPXInFmat9" xfId="87" xr:uid="{00000000-0005-0000-0000-00005D000000}"/>
    <cellStyle name="OPXInFmatRate61" xfId="88" xr:uid="{00000000-0005-0000-0000-00005E000000}"/>
    <cellStyle name="OPXInFmatRate62" xfId="89" xr:uid="{00000000-0005-0000-0000-00005F000000}"/>
    <cellStyle name="OPXInFmatRate63" xfId="90" xr:uid="{00000000-0005-0000-0000-000060000000}"/>
    <cellStyle name="OPXInFmatRate64" xfId="91" xr:uid="{00000000-0005-0000-0000-000061000000}"/>
    <cellStyle name="OPXInFmatRate65" xfId="92" xr:uid="{00000000-0005-0000-0000-000062000000}"/>
    <cellStyle name="OPXInFmatRate66" xfId="93" xr:uid="{00000000-0005-0000-0000-000063000000}"/>
    <cellStyle name="OPXInFmatRate67" xfId="94" xr:uid="{00000000-0005-0000-0000-000064000000}"/>
    <cellStyle name="OPXInFmatRate68" xfId="95" xr:uid="{00000000-0005-0000-0000-000065000000}"/>
    <cellStyle name="OPXInText" xfId="96" xr:uid="{00000000-0005-0000-0000-000066000000}"/>
    <cellStyle name="OPXInTextWrap" xfId="97" xr:uid="{00000000-0005-0000-0000-000067000000}"/>
    <cellStyle name="OPXInTime" xfId="98" xr:uid="{00000000-0005-0000-0000-000068000000}"/>
    <cellStyle name="OPXLiteralCenter" xfId="99" xr:uid="{00000000-0005-0000-0000-000069000000}"/>
    <cellStyle name="OPXLiteralCenterWrap" xfId="100" xr:uid="{00000000-0005-0000-0000-00006A000000}"/>
    <cellStyle name="OPXLiteralDateLeft" xfId="101" xr:uid="{00000000-0005-0000-0000-00006B000000}"/>
    <cellStyle name="OPXLiteralLeft" xfId="102" xr:uid="{00000000-0005-0000-0000-00006C000000}"/>
    <cellStyle name="OPXLiteralLeftWrap" xfId="103" xr:uid="{00000000-0005-0000-0000-00006D000000}"/>
    <cellStyle name="OPXLiteralRight" xfId="104" xr:uid="{00000000-0005-0000-0000-00006E000000}"/>
    <cellStyle name="OPXLiteralRightWrap" xfId="105" xr:uid="{00000000-0005-0000-0000-00006F000000}"/>
    <cellStyle name="OPXOutDate" xfId="106" xr:uid="{00000000-0005-0000-0000-000070000000}"/>
    <cellStyle name="OPXOutFmat1" xfId="107" xr:uid="{00000000-0005-0000-0000-000071000000}"/>
    <cellStyle name="OPXOutFmat10" xfId="108" xr:uid="{00000000-0005-0000-0000-000072000000}"/>
    <cellStyle name="OPXOutFmat11" xfId="109" xr:uid="{00000000-0005-0000-0000-000073000000}"/>
    <cellStyle name="OPXOutFmat2" xfId="110" xr:uid="{00000000-0005-0000-0000-000074000000}"/>
    <cellStyle name="OPXOutFmat23" xfId="111" xr:uid="{00000000-0005-0000-0000-000075000000}"/>
    <cellStyle name="OPXOutFmat25" xfId="112" xr:uid="{00000000-0005-0000-0000-000076000000}"/>
    <cellStyle name="OPXOutFmat26" xfId="113" xr:uid="{00000000-0005-0000-0000-000077000000}"/>
    <cellStyle name="OPXOutFmat27" xfId="114" xr:uid="{00000000-0005-0000-0000-000078000000}"/>
    <cellStyle name="OPXOutFmat5" xfId="115" xr:uid="{00000000-0005-0000-0000-000079000000}"/>
    <cellStyle name="OPXOutFmat6" xfId="116" xr:uid="{00000000-0005-0000-0000-00007A000000}"/>
    <cellStyle name="OPXOutFmat7" xfId="117" xr:uid="{00000000-0005-0000-0000-00007B000000}"/>
    <cellStyle name="OPXOutFmat8" xfId="118" xr:uid="{00000000-0005-0000-0000-00007C000000}"/>
    <cellStyle name="OPXOutFmat9" xfId="119" xr:uid="{00000000-0005-0000-0000-00007D000000}"/>
    <cellStyle name="OPXOutFmatRate61" xfId="120" xr:uid="{00000000-0005-0000-0000-00007E000000}"/>
    <cellStyle name="OPXOutFmatRate62" xfId="121" xr:uid="{00000000-0005-0000-0000-00007F000000}"/>
    <cellStyle name="OPXOutFmatRate63" xfId="122" xr:uid="{00000000-0005-0000-0000-000080000000}"/>
    <cellStyle name="OPXOutFmatRate64" xfId="123" xr:uid="{00000000-0005-0000-0000-000081000000}"/>
    <cellStyle name="OPXOutFmatRate65" xfId="124" xr:uid="{00000000-0005-0000-0000-000082000000}"/>
    <cellStyle name="OPXOutFmatRate66" xfId="125" xr:uid="{00000000-0005-0000-0000-000083000000}"/>
    <cellStyle name="OPXOutFmatRate67" xfId="126" xr:uid="{00000000-0005-0000-0000-000084000000}"/>
    <cellStyle name="OPXOutFmatRate68" xfId="127" xr:uid="{00000000-0005-0000-0000-000085000000}"/>
    <cellStyle name="OPXOutText" xfId="128" xr:uid="{00000000-0005-0000-0000-000086000000}"/>
    <cellStyle name="OPXOutTextWrap" xfId="129" xr:uid="{00000000-0005-0000-0000-000087000000}"/>
    <cellStyle name="OPXOutTime" xfId="130" xr:uid="{00000000-0005-0000-0000-000088000000}"/>
    <cellStyle name="OPXProtected" xfId="131" xr:uid="{00000000-0005-0000-0000-000089000000}"/>
    <cellStyle name="Percent" xfId="132" builtinId="5"/>
    <cellStyle name="Percent 2" xfId="133" xr:uid="{00000000-0005-0000-0000-00008B000000}"/>
    <cellStyle name="Percent 2 2" xfId="185" xr:uid="{00000000-0005-0000-0000-00008C000000}"/>
    <cellStyle name="Percent 2 2 10" xfId="177" xr:uid="{00000000-0005-0000-0000-00008D000000}"/>
    <cellStyle name="Percent 2 3" xfId="342" xr:uid="{45AD7C1F-7264-4E49-950D-369B77657518}"/>
    <cellStyle name="Percent 3" xfId="179" xr:uid="{00000000-0005-0000-0000-00008E000000}"/>
    <cellStyle name="Percent 3 2" xfId="181" xr:uid="{00000000-0005-0000-0000-00008F000000}"/>
    <cellStyle name="Percent 3 3" xfId="343" xr:uid="{00A2F95C-3C71-4289-85EA-2BAEE431C169}"/>
    <cellStyle name="Percent 4" xfId="340" xr:uid="{76B19481-C0F0-4283-A22C-780F829B9C2D}"/>
    <cellStyle name="Percent 5" xfId="183" xr:uid="{00000000-0005-0000-0000-000090000000}"/>
    <cellStyle name="Percent 6" xfId="336" xr:uid="{96F85719-D913-4101-90D0-CF771C1741BB}"/>
    <cellStyle name="Percent 7" xfId="337" xr:uid="{832092AF-40B0-439D-BD0D-5EA229591604}"/>
    <cellStyle name="Porcentual 10" xfId="263" xr:uid="{A0C5675B-4DEF-4EB5-9CCE-E9089DEB4D8A}"/>
    <cellStyle name="Porcentual 11" xfId="264" xr:uid="{F86311E0-025C-4A3F-84B3-54A4F2D9618E}"/>
    <cellStyle name="Porcentual 18" xfId="265" xr:uid="{36191990-25CE-4088-84B3-4A3C7AC8B61B}"/>
    <cellStyle name="Porcentual 2" xfId="266" xr:uid="{8F5C8527-6819-4BD6-AF0C-2BF9DB2452DD}"/>
    <cellStyle name="Porcentual 2 2" xfId="267" xr:uid="{7209F397-EB7C-4CF2-ACBE-E815EBDEAE0D}"/>
    <cellStyle name="Porcentual 3" xfId="268" xr:uid="{5D9DEE43-1AFF-41A2-8DE3-5C4D0E0E87FC}"/>
    <cellStyle name="Porcentual 3 2" xfId="269" xr:uid="{82412CEE-A0BA-44D9-B6D6-30560D34677C}"/>
    <cellStyle name="Porcentual 30" xfId="270" xr:uid="{9F13DCE8-0D2B-4764-9F67-385416CE72EF}"/>
    <cellStyle name="Porcentual 32" xfId="271" xr:uid="{AC2EF77F-9B67-4310-81BC-8F7DA72A419E}"/>
    <cellStyle name="Porcentual 35" xfId="334" xr:uid="{CC60B778-69CD-4AAA-9D24-08D54B99319B}"/>
    <cellStyle name="Porcentual 4" xfId="272" xr:uid="{B3093905-A362-4C4B-A22B-5AD7F5DF3DFD}"/>
    <cellStyle name="Porcentual 5" xfId="273" xr:uid="{C5D41EF2-119A-4B95-BCFC-D3AF0322EDEF}"/>
    <cellStyle name="Porcentual 6" xfId="274" xr:uid="{05F09382-6192-41BE-B1FD-4A235BE2B224}"/>
    <cellStyle name="Porcentual 7" xfId="275" xr:uid="{26AC3F14-FBF6-4213-ADCE-745C14957D46}"/>
    <cellStyle name="Porcentual 8" xfId="276" xr:uid="{4465F50C-E37C-472E-897D-99C4EA2CEB78}"/>
    <cellStyle name="Porcentual 9" xfId="277" xr:uid="{1B478660-9CBC-474D-B315-41D9EE24B26B}"/>
    <cellStyle name="Porcentual 9 2" xfId="278" xr:uid="{3F645154-8EFC-4A29-9F46-EBF28F90A972}"/>
    <cellStyle name="Resultat" xfId="279" xr:uid="{8DBBFD3F-C52D-4298-A038-B27588CCF286}"/>
    <cellStyle name="Resultat 2" xfId="347" xr:uid="{D8AFDD8E-9295-4BF5-8B44-0DA7D0DBD9CB}"/>
    <cellStyle name="Salida 2" xfId="323" xr:uid="{EAF84BCB-77AD-4543-918E-A0F2D81B4D4E}"/>
    <cellStyle name="Salida 2 2" xfId="351" xr:uid="{C843DAF2-EECC-4705-954F-176847A2F099}"/>
    <cellStyle name="Separador de milhares [0]_1.1  ANEXO 1" xfId="134" xr:uid="{00000000-0005-0000-0000-000091000000}"/>
    <cellStyle name="Separador de milhares_1.1  ANEXO 1" xfId="135" xr:uid="{00000000-0005-0000-0000-000092000000}"/>
    <cellStyle name="Standard_#CEE 2001" xfId="136" xr:uid="{00000000-0005-0000-0000-000093000000}"/>
    <cellStyle name="Style 1" xfId="137" xr:uid="{00000000-0005-0000-0000-000094000000}"/>
    <cellStyle name="Text d'advertiment" xfId="280" xr:uid="{B18E7313-5E17-40BF-89DF-05E90B3B07BF}"/>
    <cellStyle name="Text explicatiu" xfId="281" xr:uid="{0DB40476-3F1F-44DA-B17B-7403C0743B10}"/>
    <cellStyle name="Texto de advertencia 2" xfId="324" xr:uid="{5465BE85-A842-4CCB-9191-5F820645F4E0}"/>
    <cellStyle name="Texto explicativo 2" xfId="325" xr:uid="{A749A5C2-9EB9-4847-8CB3-9B4386DCDE4C}"/>
    <cellStyle name="TitleCols_Gen_pC" xfId="138" xr:uid="{00000000-0005-0000-0000-000095000000}"/>
    <cellStyle name="TitleLines_Gen" xfId="139" xr:uid="{00000000-0005-0000-0000-000096000000}"/>
    <cellStyle name="Títol" xfId="282" xr:uid="{BD5D66A5-4AC1-4336-9FF3-40EF383859B2}"/>
    <cellStyle name="Títol 1" xfId="283" xr:uid="{32636E57-70DE-4B96-BCB4-E40A77CA14F5}"/>
    <cellStyle name="Títol 2" xfId="284" xr:uid="{5839A80D-8523-4493-86D2-E46CD65E7EC2}"/>
    <cellStyle name="Títol 3" xfId="285" xr:uid="{8AD44CFB-8B0E-457F-8B61-7088F7DE962E}"/>
    <cellStyle name="Títol 4" xfId="286" xr:uid="{E1A0A5AB-7EDE-4F07-B621-2E0FDD34C1AA}"/>
    <cellStyle name="Título 1 2" xfId="326" xr:uid="{DDA9FEC6-D1C3-45B2-9B54-44E7AB509AEF}"/>
    <cellStyle name="Título 2 2" xfId="327" xr:uid="{22BFDE36-23E9-4445-BBA8-4E55FA436C6F}"/>
    <cellStyle name="Título 3 2" xfId="328" xr:uid="{3D85C531-9024-4D71-A921-3038D14C0E27}"/>
    <cellStyle name="Título 4" xfId="329" xr:uid="{31383B3C-AB68-4467-B274-B7410C722B08}"/>
    <cellStyle name="Total 2" xfId="330" xr:uid="{C2D257E6-4824-4066-9F23-119BE1A821DD}"/>
    <cellStyle name="Total 2 2" xfId="352" xr:uid="{AF29083B-26FB-4D7F-8489-6933CFC35BAE}"/>
    <cellStyle name="Undefiniert" xfId="140" xr:uid="{00000000-0005-0000-0000-000097000000}"/>
    <cellStyle name="Virgulă_BVC 2001-propuneri" xfId="141" xr:uid="{00000000-0005-0000-0000-000098000000}"/>
    <cellStyle name="Währung [0]_1999" xfId="142" xr:uid="{00000000-0005-0000-0000-000099000000}"/>
    <cellStyle name="Währung_1999" xfId="143" xr:uid="{00000000-0005-0000-0000-00009A000000}"/>
    <cellStyle name="Βασικό_12.6.96" xfId="144" xr:uid="{00000000-0005-0000-0000-00009B000000}"/>
    <cellStyle name="Διαχωριστικό χιλιάδων/υποδιαστολή [0]_PIR9906isol_final" xfId="145" xr:uid="{00000000-0005-0000-0000-00009C000000}"/>
    <cellStyle name="Διαχωριστικό χιλιάδων/υποδιαστολή_Bond reconciliation SAP_TVS_MO 06 2007" xfId="146" xr:uid="{00000000-0005-0000-0000-00009D000000}"/>
    <cellStyle name="Εισαγωγή" xfId="147" xr:uid="{00000000-0005-0000-0000-00009E000000}"/>
    <cellStyle name="Έλεγχος κελιού" xfId="148" xr:uid="{00000000-0005-0000-0000-00009F000000}"/>
    <cellStyle name="Έμφαση1" xfId="149" xr:uid="{00000000-0005-0000-0000-0000A0000000}"/>
    <cellStyle name="Έμφαση2" xfId="150" xr:uid="{00000000-0005-0000-0000-0000A1000000}"/>
    <cellStyle name="Έμφαση3" xfId="151" xr:uid="{00000000-0005-0000-0000-0000A2000000}"/>
    <cellStyle name="Έμφαση4" xfId="152" xr:uid="{00000000-0005-0000-0000-0000A3000000}"/>
    <cellStyle name="Έμφαση5" xfId="153" xr:uid="{00000000-0005-0000-0000-0000A4000000}"/>
    <cellStyle name="Έμφαση6" xfId="154" xr:uid="{00000000-0005-0000-0000-0000A5000000}"/>
    <cellStyle name="Έξοδος" xfId="155" xr:uid="{00000000-0005-0000-0000-0000A6000000}"/>
    <cellStyle name="Επεξηγηματικό κείμενο" xfId="156" xr:uid="{00000000-0005-0000-0000-0000A7000000}"/>
    <cellStyle name="Επικεφαλίδα 1" xfId="157" xr:uid="{00000000-0005-0000-0000-0000A8000000}"/>
    <cellStyle name="Επικεφαλίδα 2" xfId="158" xr:uid="{00000000-0005-0000-0000-0000A9000000}"/>
    <cellStyle name="Επικεφαλίδα 3" xfId="159" xr:uid="{00000000-0005-0000-0000-0000AA000000}"/>
    <cellStyle name="Επικεφαλίδα 4" xfId="160" xr:uid="{00000000-0005-0000-0000-0000AB000000}"/>
    <cellStyle name="Κακό" xfId="161" xr:uid="{00000000-0005-0000-0000-0000AC000000}"/>
    <cellStyle name="Καλό" xfId="162" xr:uid="{00000000-0005-0000-0000-0000AD000000}"/>
    <cellStyle name="Κανονικό 2" xfId="163" xr:uid="{00000000-0005-0000-0000-0000AE000000}"/>
    <cellStyle name="Κανονικό 3" xfId="164" xr:uid="{00000000-0005-0000-0000-0000AF000000}"/>
    <cellStyle name="Κανονικό 4" xfId="165" xr:uid="{00000000-0005-0000-0000-0000B0000000}"/>
    <cellStyle name="Κόμμα 2" xfId="166" xr:uid="{00000000-0005-0000-0000-0000B1000000}"/>
    <cellStyle name="Κόμμα 3" xfId="167" xr:uid="{00000000-0005-0000-0000-0000B2000000}"/>
    <cellStyle name="Νομισματικό [0]_PIR9906isol_final" xfId="168" xr:uid="{00000000-0005-0000-0000-0000B3000000}"/>
    <cellStyle name="Νομισματικό_PIR9906isol_final" xfId="169" xr:uid="{00000000-0005-0000-0000-0000B4000000}"/>
    <cellStyle name="Ουδέτερο" xfId="170" xr:uid="{00000000-0005-0000-0000-0000B5000000}"/>
    <cellStyle name="Προειδοποιητικό κείμενο" xfId="171" xr:uid="{00000000-0005-0000-0000-0000B6000000}"/>
    <cellStyle name="Σημείωση" xfId="172" xr:uid="{00000000-0005-0000-0000-0000B7000000}"/>
    <cellStyle name="Συνδεδεμένο κελί" xfId="173" xr:uid="{00000000-0005-0000-0000-0000B8000000}"/>
    <cellStyle name="Σύνολο" xfId="174" xr:uid="{00000000-0005-0000-0000-0000B9000000}"/>
    <cellStyle name="Τίτλος" xfId="175" xr:uid="{00000000-0005-0000-0000-0000BA000000}"/>
    <cellStyle name="Υπολογισμός" xfId="176" xr:uid="{00000000-0005-0000-0000-0000BB000000}"/>
  </cellStyles>
  <dxfs count="0"/>
  <tableStyles count="0" defaultTableStyle="TableStyleMedium9" defaultPivotStyle="PivotStyleLight16"/>
  <colors>
    <mruColors>
      <color rgb="FF002F30"/>
      <color rgb="FFFFF5BF"/>
      <color rgb="FFCAC3AF"/>
      <color rgb="FF296ED4"/>
      <color rgb="FFE4E1D7"/>
      <color rgb="FFAF8043"/>
      <color rgb="FF809797"/>
      <color rgb="FF836031"/>
      <color rgb="FFAD804C"/>
      <color rgb="FF946D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359834</xdr:colOff>
      <xdr:row>3</xdr:row>
      <xdr:rowOff>74082</xdr:rowOff>
    </xdr:from>
    <xdr:to>
      <xdr:col>3</xdr:col>
      <xdr:colOff>1569168</xdr:colOff>
      <xdr:row>6</xdr:row>
      <xdr:rowOff>190499</xdr:rowOff>
    </xdr:to>
    <xdr:pic>
      <xdr:nvPicPr>
        <xdr:cNvPr id="3" name="Picture 2">
          <a:extLst>
            <a:ext uri="{FF2B5EF4-FFF2-40B4-BE49-F238E27FC236}">
              <a16:creationId xmlns:a16="http://schemas.microsoft.com/office/drawing/2014/main" id="{3E437E91-1EE8-45C6-E7A6-81360528E9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8584" y="698499"/>
          <a:ext cx="2193584" cy="772583"/>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130969</xdr:colOff>
      <xdr:row>0</xdr:row>
      <xdr:rowOff>142875</xdr:rowOff>
    </xdr:from>
    <xdr:to>
      <xdr:col>1</xdr:col>
      <xdr:colOff>2157865</xdr:colOff>
      <xdr:row>3</xdr:row>
      <xdr:rowOff>47625</xdr:rowOff>
    </xdr:to>
    <xdr:pic>
      <xdr:nvPicPr>
        <xdr:cNvPr id="2" name="Picture 1">
          <a:extLst>
            <a:ext uri="{FF2B5EF4-FFF2-40B4-BE49-F238E27FC236}">
              <a16:creationId xmlns:a16="http://schemas.microsoft.com/office/drawing/2014/main" id="{99706A75-E90C-432D-9B22-DD0B2E5CACB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410" b="18322"/>
        <a:stretch/>
      </xdr:blipFill>
      <xdr:spPr bwMode="auto">
        <a:xfrm>
          <a:off x="130969" y="142875"/>
          <a:ext cx="2193584" cy="511969"/>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119063</xdr:colOff>
      <xdr:row>0</xdr:row>
      <xdr:rowOff>178595</xdr:rowOff>
    </xdr:from>
    <xdr:to>
      <xdr:col>1</xdr:col>
      <xdr:colOff>2145959</xdr:colOff>
      <xdr:row>3</xdr:row>
      <xdr:rowOff>83345</xdr:rowOff>
    </xdr:to>
    <xdr:pic>
      <xdr:nvPicPr>
        <xdr:cNvPr id="3" name="Picture 2">
          <a:extLst>
            <a:ext uri="{FF2B5EF4-FFF2-40B4-BE49-F238E27FC236}">
              <a16:creationId xmlns:a16="http://schemas.microsoft.com/office/drawing/2014/main" id="{BF5B35B0-F702-4A79-AE4F-A2497AD0918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410" b="18322"/>
        <a:stretch/>
      </xdr:blipFill>
      <xdr:spPr bwMode="auto">
        <a:xfrm>
          <a:off x="119063" y="178595"/>
          <a:ext cx="2193584" cy="511969"/>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2193584</xdr:colOff>
      <xdr:row>3</xdr:row>
      <xdr:rowOff>107156</xdr:rowOff>
    </xdr:to>
    <xdr:pic>
      <xdr:nvPicPr>
        <xdr:cNvPr id="3" name="Picture 2">
          <a:extLst>
            <a:ext uri="{FF2B5EF4-FFF2-40B4-BE49-F238E27FC236}">
              <a16:creationId xmlns:a16="http://schemas.microsoft.com/office/drawing/2014/main" id="{6F4B2A73-5E2B-4DBB-96E3-766F7D7CAB8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410" b="18322"/>
        <a:stretch/>
      </xdr:blipFill>
      <xdr:spPr bwMode="auto">
        <a:xfrm>
          <a:off x="166688" y="202406"/>
          <a:ext cx="2193584" cy="511969"/>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107156</xdr:colOff>
      <xdr:row>0</xdr:row>
      <xdr:rowOff>142875</xdr:rowOff>
    </xdr:from>
    <xdr:to>
      <xdr:col>1</xdr:col>
      <xdr:colOff>2134052</xdr:colOff>
      <xdr:row>3</xdr:row>
      <xdr:rowOff>47625</xdr:rowOff>
    </xdr:to>
    <xdr:pic>
      <xdr:nvPicPr>
        <xdr:cNvPr id="3" name="Picture 2">
          <a:extLst>
            <a:ext uri="{FF2B5EF4-FFF2-40B4-BE49-F238E27FC236}">
              <a16:creationId xmlns:a16="http://schemas.microsoft.com/office/drawing/2014/main" id="{A86CAD59-2022-4751-B760-C47B70B7515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410" b="18322"/>
        <a:stretch/>
      </xdr:blipFill>
      <xdr:spPr bwMode="auto">
        <a:xfrm>
          <a:off x="107156" y="142875"/>
          <a:ext cx="2193584" cy="511969"/>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119063</xdr:colOff>
      <xdr:row>0</xdr:row>
      <xdr:rowOff>166688</xdr:rowOff>
    </xdr:from>
    <xdr:to>
      <xdr:col>1</xdr:col>
      <xdr:colOff>2145959</xdr:colOff>
      <xdr:row>3</xdr:row>
      <xdr:rowOff>71438</xdr:rowOff>
    </xdr:to>
    <xdr:pic>
      <xdr:nvPicPr>
        <xdr:cNvPr id="2" name="Picture 1">
          <a:extLst>
            <a:ext uri="{FF2B5EF4-FFF2-40B4-BE49-F238E27FC236}">
              <a16:creationId xmlns:a16="http://schemas.microsoft.com/office/drawing/2014/main" id="{5C0A05B6-45C7-45B2-A0AA-42B74AC07EE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410" b="18322"/>
        <a:stretch/>
      </xdr:blipFill>
      <xdr:spPr bwMode="auto">
        <a:xfrm>
          <a:off x="119063" y="166688"/>
          <a:ext cx="2193584" cy="511969"/>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83344</xdr:colOff>
      <xdr:row>0</xdr:row>
      <xdr:rowOff>154781</xdr:rowOff>
    </xdr:from>
    <xdr:to>
      <xdr:col>1</xdr:col>
      <xdr:colOff>2110240</xdr:colOff>
      <xdr:row>3</xdr:row>
      <xdr:rowOff>59531</xdr:rowOff>
    </xdr:to>
    <xdr:pic>
      <xdr:nvPicPr>
        <xdr:cNvPr id="3" name="Picture 2">
          <a:extLst>
            <a:ext uri="{FF2B5EF4-FFF2-40B4-BE49-F238E27FC236}">
              <a16:creationId xmlns:a16="http://schemas.microsoft.com/office/drawing/2014/main" id="{E5C57A1A-3748-4C26-BA15-E2C392728F5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410" b="18322"/>
        <a:stretch/>
      </xdr:blipFill>
      <xdr:spPr bwMode="auto">
        <a:xfrm>
          <a:off x="83344" y="154781"/>
          <a:ext cx="2193584" cy="511969"/>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119063</xdr:colOff>
      <xdr:row>0</xdr:row>
      <xdr:rowOff>130969</xdr:rowOff>
    </xdr:from>
    <xdr:to>
      <xdr:col>1</xdr:col>
      <xdr:colOff>2145959</xdr:colOff>
      <xdr:row>3</xdr:row>
      <xdr:rowOff>47625</xdr:rowOff>
    </xdr:to>
    <xdr:pic>
      <xdr:nvPicPr>
        <xdr:cNvPr id="2" name="Picture 1">
          <a:extLst>
            <a:ext uri="{FF2B5EF4-FFF2-40B4-BE49-F238E27FC236}">
              <a16:creationId xmlns:a16="http://schemas.microsoft.com/office/drawing/2014/main" id="{A95D3643-0B59-4851-9D9F-4AE189DB487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410" b="18322"/>
        <a:stretch/>
      </xdr:blipFill>
      <xdr:spPr bwMode="auto">
        <a:xfrm>
          <a:off x="119063" y="130969"/>
          <a:ext cx="2193584" cy="523875"/>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119063</xdr:colOff>
      <xdr:row>0</xdr:row>
      <xdr:rowOff>130969</xdr:rowOff>
    </xdr:from>
    <xdr:to>
      <xdr:col>1</xdr:col>
      <xdr:colOff>2145959</xdr:colOff>
      <xdr:row>3</xdr:row>
      <xdr:rowOff>47625</xdr:rowOff>
    </xdr:to>
    <xdr:pic>
      <xdr:nvPicPr>
        <xdr:cNvPr id="2" name="Picture 1">
          <a:extLst>
            <a:ext uri="{FF2B5EF4-FFF2-40B4-BE49-F238E27FC236}">
              <a16:creationId xmlns:a16="http://schemas.microsoft.com/office/drawing/2014/main" id="{35C8EE76-483F-46B2-960A-0954BF10F15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410" b="18322"/>
        <a:stretch/>
      </xdr:blipFill>
      <xdr:spPr bwMode="auto">
        <a:xfrm>
          <a:off x="119063" y="130969"/>
          <a:ext cx="2188821" cy="516731"/>
        </a:xfrm>
        <a:prstGeom prst="rect">
          <a:avLst/>
        </a:prstGeom>
        <a:noFill/>
        <a:ln>
          <a:noFill/>
        </a:ln>
      </xdr:spPr>
    </xdr:pic>
    <xdr:clientData/>
  </xdr:twoCellAnchor>
  <xdr:twoCellAnchor editAs="oneCell">
    <xdr:from>
      <xdr:col>0</xdr:col>
      <xdr:colOff>119063</xdr:colOff>
      <xdr:row>0</xdr:row>
      <xdr:rowOff>130969</xdr:rowOff>
    </xdr:from>
    <xdr:to>
      <xdr:col>1</xdr:col>
      <xdr:colOff>2145959</xdr:colOff>
      <xdr:row>3</xdr:row>
      <xdr:rowOff>47625</xdr:rowOff>
    </xdr:to>
    <xdr:pic>
      <xdr:nvPicPr>
        <xdr:cNvPr id="3" name="Picture 2">
          <a:extLst>
            <a:ext uri="{FF2B5EF4-FFF2-40B4-BE49-F238E27FC236}">
              <a16:creationId xmlns:a16="http://schemas.microsoft.com/office/drawing/2014/main" id="{1E591BD5-8845-4413-96A2-A1D387889DB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410" b="18322"/>
        <a:stretch/>
      </xdr:blipFill>
      <xdr:spPr bwMode="auto">
        <a:xfrm>
          <a:off x="119063" y="130969"/>
          <a:ext cx="2188821" cy="516731"/>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142876</xdr:colOff>
      <xdr:row>0</xdr:row>
      <xdr:rowOff>130970</xdr:rowOff>
    </xdr:from>
    <xdr:to>
      <xdr:col>1</xdr:col>
      <xdr:colOff>2169772</xdr:colOff>
      <xdr:row>3</xdr:row>
      <xdr:rowOff>35720</xdr:rowOff>
    </xdr:to>
    <xdr:pic>
      <xdr:nvPicPr>
        <xdr:cNvPr id="3" name="Picture 2">
          <a:extLst>
            <a:ext uri="{FF2B5EF4-FFF2-40B4-BE49-F238E27FC236}">
              <a16:creationId xmlns:a16="http://schemas.microsoft.com/office/drawing/2014/main" id="{B1DD4360-1CF9-4DE6-8764-0955822D690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410" b="18322"/>
        <a:stretch/>
      </xdr:blipFill>
      <xdr:spPr bwMode="auto">
        <a:xfrm>
          <a:off x="142876" y="130970"/>
          <a:ext cx="2193584" cy="51196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71438</xdr:colOff>
      <xdr:row>0</xdr:row>
      <xdr:rowOff>107156</xdr:rowOff>
    </xdr:from>
    <xdr:to>
      <xdr:col>1</xdr:col>
      <xdr:colOff>2098334</xdr:colOff>
      <xdr:row>3</xdr:row>
      <xdr:rowOff>11906</xdr:rowOff>
    </xdr:to>
    <xdr:pic>
      <xdr:nvPicPr>
        <xdr:cNvPr id="3" name="Picture 2">
          <a:extLst>
            <a:ext uri="{FF2B5EF4-FFF2-40B4-BE49-F238E27FC236}">
              <a16:creationId xmlns:a16="http://schemas.microsoft.com/office/drawing/2014/main" id="{0D67EFC6-C812-4741-B49B-4A427836C09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410" b="18322"/>
        <a:stretch/>
      </xdr:blipFill>
      <xdr:spPr bwMode="auto">
        <a:xfrm>
          <a:off x="71438" y="107156"/>
          <a:ext cx="2193584" cy="511969"/>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95251</xdr:colOff>
      <xdr:row>0</xdr:row>
      <xdr:rowOff>119063</xdr:rowOff>
    </xdr:from>
    <xdr:to>
      <xdr:col>1</xdr:col>
      <xdr:colOff>2122147</xdr:colOff>
      <xdr:row>3</xdr:row>
      <xdr:rowOff>23813</xdr:rowOff>
    </xdr:to>
    <xdr:pic>
      <xdr:nvPicPr>
        <xdr:cNvPr id="2" name="Picture 1">
          <a:extLst>
            <a:ext uri="{FF2B5EF4-FFF2-40B4-BE49-F238E27FC236}">
              <a16:creationId xmlns:a16="http://schemas.microsoft.com/office/drawing/2014/main" id="{E4D72D32-076F-4C93-A1F2-DE8602CCC5F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410" b="18322"/>
        <a:stretch/>
      </xdr:blipFill>
      <xdr:spPr bwMode="auto">
        <a:xfrm>
          <a:off x="95251" y="119063"/>
          <a:ext cx="2193584" cy="511969"/>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119063</xdr:colOff>
      <xdr:row>0</xdr:row>
      <xdr:rowOff>178593</xdr:rowOff>
    </xdr:from>
    <xdr:to>
      <xdr:col>1</xdr:col>
      <xdr:colOff>2145959</xdr:colOff>
      <xdr:row>3</xdr:row>
      <xdr:rowOff>83343</xdr:rowOff>
    </xdr:to>
    <xdr:pic>
      <xdr:nvPicPr>
        <xdr:cNvPr id="3" name="Picture 2">
          <a:extLst>
            <a:ext uri="{FF2B5EF4-FFF2-40B4-BE49-F238E27FC236}">
              <a16:creationId xmlns:a16="http://schemas.microsoft.com/office/drawing/2014/main" id="{46423D13-749E-4827-8566-3EC1AD24561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410" b="18322"/>
        <a:stretch/>
      </xdr:blipFill>
      <xdr:spPr bwMode="auto">
        <a:xfrm>
          <a:off x="119063" y="178593"/>
          <a:ext cx="2193584" cy="511969"/>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119063</xdr:colOff>
      <xdr:row>0</xdr:row>
      <xdr:rowOff>130969</xdr:rowOff>
    </xdr:from>
    <xdr:to>
      <xdr:col>1</xdr:col>
      <xdr:colOff>2145959</xdr:colOff>
      <xdr:row>3</xdr:row>
      <xdr:rowOff>35719</xdr:rowOff>
    </xdr:to>
    <xdr:pic>
      <xdr:nvPicPr>
        <xdr:cNvPr id="3" name="Picture 2">
          <a:extLst>
            <a:ext uri="{FF2B5EF4-FFF2-40B4-BE49-F238E27FC236}">
              <a16:creationId xmlns:a16="http://schemas.microsoft.com/office/drawing/2014/main" id="{00E88906-2EFC-4372-AB9A-E9A6EAA8086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410" b="18322"/>
        <a:stretch/>
      </xdr:blipFill>
      <xdr:spPr bwMode="auto">
        <a:xfrm>
          <a:off x="119063" y="130969"/>
          <a:ext cx="2193584" cy="511969"/>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119063</xdr:colOff>
      <xdr:row>0</xdr:row>
      <xdr:rowOff>142875</xdr:rowOff>
    </xdr:from>
    <xdr:to>
      <xdr:col>1</xdr:col>
      <xdr:colOff>2145959</xdr:colOff>
      <xdr:row>3</xdr:row>
      <xdr:rowOff>47625</xdr:rowOff>
    </xdr:to>
    <xdr:pic>
      <xdr:nvPicPr>
        <xdr:cNvPr id="3" name="Picture 2">
          <a:extLst>
            <a:ext uri="{FF2B5EF4-FFF2-40B4-BE49-F238E27FC236}">
              <a16:creationId xmlns:a16="http://schemas.microsoft.com/office/drawing/2014/main" id="{F1EF6A33-FD41-46EA-A5D0-DDDCCA45A2E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410" b="18322"/>
        <a:stretch/>
      </xdr:blipFill>
      <xdr:spPr bwMode="auto">
        <a:xfrm>
          <a:off x="119063" y="142875"/>
          <a:ext cx="2193584" cy="511969"/>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107157</xdr:colOff>
      <xdr:row>0</xdr:row>
      <xdr:rowOff>142876</xdr:rowOff>
    </xdr:from>
    <xdr:to>
      <xdr:col>1</xdr:col>
      <xdr:colOff>2134053</xdr:colOff>
      <xdr:row>3</xdr:row>
      <xdr:rowOff>47626</xdr:rowOff>
    </xdr:to>
    <xdr:pic>
      <xdr:nvPicPr>
        <xdr:cNvPr id="3" name="Picture 2">
          <a:extLst>
            <a:ext uri="{FF2B5EF4-FFF2-40B4-BE49-F238E27FC236}">
              <a16:creationId xmlns:a16="http://schemas.microsoft.com/office/drawing/2014/main" id="{AED81C9A-5CB7-4EEB-BDFB-7E420FCEBD3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410" b="18322"/>
        <a:stretch/>
      </xdr:blipFill>
      <xdr:spPr bwMode="auto">
        <a:xfrm>
          <a:off x="107157" y="142876"/>
          <a:ext cx="2193584" cy="511969"/>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130969</xdr:colOff>
      <xdr:row>0</xdr:row>
      <xdr:rowOff>166688</xdr:rowOff>
    </xdr:from>
    <xdr:to>
      <xdr:col>2</xdr:col>
      <xdr:colOff>217147</xdr:colOff>
      <xdr:row>3</xdr:row>
      <xdr:rowOff>71438</xdr:rowOff>
    </xdr:to>
    <xdr:pic>
      <xdr:nvPicPr>
        <xdr:cNvPr id="3" name="Picture 2">
          <a:extLst>
            <a:ext uri="{FF2B5EF4-FFF2-40B4-BE49-F238E27FC236}">
              <a16:creationId xmlns:a16="http://schemas.microsoft.com/office/drawing/2014/main" id="{76108278-C10D-4E77-AE11-C53A8A357E9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410" b="18322"/>
        <a:stretch/>
      </xdr:blipFill>
      <xdr:spPr bwMode="auto">
        <a:xfrm>
          <a:off x="130969" y="166688"/>
          <a:ext cx="2193584" cy="511969"/>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130970</xdr:colOff>
      <xdr:row>0</xdr:row>
      <xdr:rowOff>154782</xdr:rowOff>
    </xdr:from>
    <xdr:to>
      <xdr:col>1</xdr:col>
      <xdr:colOff>2157866</xdr:colOff>
      <xdr:row>3</xdr:row>
      <xdr:rowOff>59532</xdr:rowOff>
    </xdr:to>
    <xdr:pic>
      <xdr:nvPicPr>
        <xdr:cNvPr id="3" name="Picture 2">
          <a:extLst>
            <a:ext uri="{FF2B5EF4-FFF2-40B4-BE49-F238E27FC236}">
              <a16:creationId xmlns:a16="http://schemas.microsoft.com/office/drawing/2014/main" id="{F59F0222-05EC-41EF-94B9-F43C6075512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410" b="18322"/>
        <a:stretch/>
      </xdr:blipFill>
      <xdr:spPr bwMode="auto">
        <a:xfrm>
          <a:off x="130970" y="154782"/>
          <a:ext cx="2193584" cy="511969"/>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25">
    <pageSetUpPr fitToPage="1"/>
  </sheetPr>
  <dimension ref="B1:F56"/>
  <sheetViews>
    <sheetView showGridLines="0" tabSelected="1" view="pageBreakPreview" zoomScale="85" zoomScaleNormal="85" zoomScaleSheetLayoutView="85" workbookViewId="0">
      <selection activeCell="B13" sqref="B13:F13"/>
    </sheetView>
  </sheetViews>
  <sheetFormatPr defaultColWidth="9.109375" defaultRowHeight="17.399999999999999" x14ac:dyDescent="0.4"/>
  <cols>
    <col min="1" max="1" width="2.44140625" style="115" customWidth="1"/>
    <col min="2" max="2" width="6.109375" style="115" customWidth="1"/>
    <col min="3" max="3" width="8.5546875" style="115" customWidth="1"/>
    <col min="4" max="4" width="47.88671875" style="115" bestFit="1" customWidth="1"/>
    <col min="5" max="5" width="18.44140625" style="106" customWidth="1"/>
    <col min="6" max="6" width="21.44140625" style="115" customWidth="1"/>
    <col min="7" max="7" width="3.6640625" style="115" customWidth="1"/>
    <col min="8" max="16384" width="9.109375" style="115"/>
  </cols>
  <sheetData>
    <row r="1" spans="2:6" ht="12.75" customHeight="1" x14ac:dyDescent="0.4">
      <c r="B1" s="138"/>
      <c r="C1" s="138"/>
    </row>
    <row r="2" spans="2:6" x14ac:dyDescent="0.4">
      <c r="B2" s="138"/>
      <c r="C2" s="138"/>
    </row>
    <row r="3" spans="2:6" x14ac:dyDescent="0.4">
      <c r="B3" s="138"/>
      <c r="C3" s="138"/>
    </row>
    <row r="4" spans="2:6" x14ac:dyDescent="0.4">
      <c r="B4" s="138"/>
      <c r="C4" s="138"/>
    </row>
    <row r="5" spans="2:6" ht="16.5" customHeight="1" x14ac:dyDescent="0.4">
      <c r="B5" s="139"/>
      <c r="D5" s="139"/>
      <c r="E5" s="140"/>
      <c r="F5" s="139"/>
    </row>
    <row r="6" spans="2:6" ht="16.5" customHeight="1" x14ac:dyDescent="0.4">
      <c r="B6" s="139"/>
      <c r="D6" s="139"/>
      <c r="E6" s="140"/>
      <c r="F6" s="139"/>
    </row>
    <row r="7" spans="2:6" x14ac:dyDescent="0.4">
      <c r="B7" s="138"/>
      <c r="C7" s="138"/>
    </row>
    <row r="8" spans="2:6" x14ac:dyDescent="0.4">
      <c r="B8" s="138"/>
      <c r="C8" s="138"/>
    </row>
    <row r="9" spans="2:6" x14ac:dyDescent="0.4">
      <c r="B9" s="138"/>
      <c r="C9" s="138"/>
    </row>
    <row r="10" spans="2:6" x14ac:dyDescent="0.4">
      <c r="B10" s="138"/>
      <c r="C10" s="138"/>
    </row>
    <row r="11" spans="2:6" x14ac:dyDescent="0.4">
      <c r="B11" s="141"/>
      <c r="C11" s="141"/>
      <c r="D11" s="104"/>
      <c r="E11" s="105"/>
      <c r="F11" s="104"/>
    </row>
    <row r="12" spans="2:6" x14ac:dyDescent="0.4">
      <c r="B12" s="141"/>
      <c r="C12" s="141"/>
      <c r="D12" s="104"/>
      <c r="E12" s="105"/>
      <c r="F12" s="104"/>
    </row>
    <row r="13" spans="2:6" ht="40.5" customHeight="1" x14ac:dyDescent="0.35">
      <c r="B13" s="935" t="s">
        <v>592</v>
      </c>
      <c r="C13" s="935"/>
      <c r="D13" s="935"/>
      <c r="E13" s="935"/>
      <c r="F13" s="935"/>
    </row>
    <row r="14" spans="2:6" x14ac:dyDescent="0.4">
      <c r="B14" s="141"/>
      <c r="C14" s="141"/>
      <c r="D14" s="104"/>
      <c r="E14" s="105"/>
      <c r="F14" s="104"/>
    </row>
    <row r="15" spans="2:6" x14ac:dyDescent="0.4">
      <c r="B15" s="141"/>
      <c r="C15" s="141"/>
      <c r="D15" s="104"/>
      <c r="E15" s="105"/>
      <c r="F15" s="104"/>
    </row>
    <row r="16" spans="2:6" ht="13.5" customHeight="1" x14ac:dyDescent="0.4">
      <c r="B16" s="138"/>
      <c r="C16" s="141"/>
      <c r="D16" s="104"/>
      <c r="E16" s="105"/>
      <c r="F16" s="106"/>
    </row>
    <row r="17" spans="2:6" x14ac:dyDescent="0.4">
      <c r="B17" s="138"/>
      <c r="C17" s="141"/>
      <c r="D17" s="107"/>
      <c r="E17" s="105"/>
      <c r="F17" s="106"/>
    </row>
    <row r="18" spans="2:6" x14ac:dyDescent="0.4">
      <c r="B18" s="138"/>
      <c r="C18" s="141"/>
      <c r="D18" s="108" t="s">
        <v>208</v>
      </c>
      <c r="E18" s="109">
        <v>1</v>
      </c>
      <c r="F18" s="106"/>
    </row>
    <row r="19" spans="2:6" x14ac:dyDescent="0.4">
      <c r="B19" s="138"/>
      <c r="C19" s="141"/>
      <c r="D19" s="107" t="s">
        <v>209</v>
      </c>
      <c r="E19" s="110">
        <v>2</v>
      </c>
      <c r="F19" s="106"/>
    </row>
    <row r="20" spans="2:6" ht="17.25" customHeight="1" x14ac:dyDescent="0.4">
      <c r="B20" s="138"/>
      <c r="C20" s="142"/>
      <c r="D20" s="108" t="s">
        <v>210</v>
      </c>
      <c r="E20" s="110">
        <v>3</v>
      </c>
      <c r="F20" s="106"/>
    </row>
    <row r="21" spans="2:6" ht="17.25" customHeight="1" x14ac:dyDescent="0.4">
      <c r="B21" s="138"/>
      <c r="C21" s="142"/>
      <c r="D21" s="108" t="s">
        <v>211</v>
      </c>
      <c r="E21" s="110">
        <v>4</v>
      </c>
      <c r="F21" s="106"/>
    </row>
    <row r="22" spans="2:6" ht="17.25" customHeight="1" x14ac:dyDescent="0.4">
      <c r="B22" s="138"/>
      <c r="C22" s="142"/>
      <c r="D22" s="108" t="s">
        <v>46</v>
      </c>
      <c r="E22" s="109">
        <v>5</v>
      </c>
      <c r="F22" s="112"/>
    </row>
    <row r="23" spans="2:6" ht="17.25" customHeight="1" x14ac:dyDescent="0.4">
      <c r="B23" s="138"/>
      <c r="C23" s="141"/>
      <c r="D23" s="108" t="s">
        <v>1</v>
      </c>
      <c r="E23" s="109">
        <v>6</v>
      </c>
      <c r="F23" s="112"/>
    </row>
    <row r="24" spans="2:6" ht="17.25" customHeight="1" x14ac:dyDescent="0.4">
      <c r="B24" s="138"/>
      <c r="C24" s="141"/>
      <c r="D24" s="108" t="s">
        <v>179</v>
      </c>
      <c r="E24" s="109">
        <v>7</v>
      </c>
      <c r="F24" s="112"/>
    </row>
    <row r="25" spans="2:6" ht="17.25" customHeight="1" x14ac:dyDescent="0.4">
      <c r="B25" s="138"/>
      <c r="C25" s="141"/>
      <c r="D25" s="107" t="s">
        <v>445</v>
      </c>
      <c r="E25" s="110">
        <v>8</v>
      </c>
      <c r="F25" s="112"/>
    </row>
    <row r="26" spans="2:6" ht="17.25" customHeight="1" x14ac:dyDescent="0.4">
      <c r="B26" s="138"/>
      <c r="C26" s="141"/>
      <c r="D26" s="108" t="s">
        <v>212</v>
      </c>
      <c r="E26" s="109">
        <v>9</v>
      </c>
      <c r="F26" s="112"/>
    </row>
    <row r="27" spans="2:6" ht="17.25" customHeight="1" x14ac:dyDescent="0.4">
      <c r="B27" s="138"/>
      <c r="C27" s="141"/>
      <c r="D27" s="108" t="s">
        <v>213</v>
      </c>
      <c r="E27" s="109">
        <v>10</v>
      </c>
      <c r="F27" s="112"/>
    </row>
    <row r="28" spans="2:6" ht="17.25" customHeight="1" x14ac:dyDescent="0.4">
      <c r="B28" s="138"/>
      <c r="C28" s="141"/>
      <c r="D28" s="108" t="s">
        <v>214</v>
      </c>
      <c r="E28" s="109">
        <v>11</v>
      </c>
      <c r="F28" s="112"/>
    </row>
    <row r="29" spans="2:6" ht="17.25" customHeight="1" x14ac:dyDescent="0.4">
      <c r="B29" s="138"/>
      <c r="C29" s="141"/>
      <c r="D29" s="108" t="s">
        <v>215</v>
      </c>
      <c r="E29" s="109">
        <v>12</v>
      </c>
      <c r="F29" s="112"/>
    </row>
    <row r="30" spans="2:6" ht="17.25" customHeight="1" x14ac:dyDescent="0.4">
      <c r="B30" s="138"/>
      <c r="C30" s="141"/>
      <c r="D30" s="108" t="s">
        <v>216</v>
      </c>
      <c r="E30" s="109">
        <v>13</v>
      </c>
      <c r="F30" s="112"/>
    </row>
    <row r="31" spans="2:6" ht="17.25" customHeight="1" x14ac:dyDescent="0.4">
      <c r="B31" s="138"/>
      <c r="C31" s="141"/>
      <c r="D31" s="108" t="s">
        <v>217</v>
      </c>
      <c r="E31" s="109">
        <v>14</v>
      </c>
      <c r="F31" s="112"/>
    </row>
    <row r="32" spans="2:6" ht="17.25" customHeight="1" x14ac:dyDescent="0.4">
      <c r="B32" s="138"/>
      <c r="C32" s="141"/>
      <c r="D32" s="108" t="s">
        <v>257</v>
      </c>
      <c r="E32" s="109">
        <v>15</v>
      </c>
      <c r="F32" s="109"/>
    </row>
    <row r="33" spans="2:6" ht="17.25" customHeight="1" x14ac:dyDescent="0.4">
      <c r="B33" s="138"/>
      <c r="C33" s="141"/>
      <c r="D33" s="108" t="s">
        <v>542</v>
      </c>
      <c r="E33" s="109">
        <v>16</v>
      </c>
      <c r="F33" s="109"/>
    </row>
    <row r="34" spans="2:6" ht="17.25" customHeight="1" x14ac:dyDescent="0.4">
      <c r="B34" s="138"/>
      <c r="C34" s="141"/>
      <c r="D34" s="108" t="s">
        <v>218</v>
      </c>
      <c r="E34" s="109">
        <v>17</v>
      </c>
      <c r="F34" s="112"/>
    </row>
    <row r="35" spans="2:6" ht="17.25" customHeight="1" x14ac:dyDescent="0.4">
      <c r="B35" s="138"/>
      <c r="C35" s="138"/>
      <c r="D35" s="113" t="s">
        <v>52</v>
      </c>
      <c r="E35" s="114"/>
      <c r="F35" s="106"/>
    </row>
    <row r="36" spans="2:6" ht="17.25" customHeight="1" x14ac:dyDescent="0.4">
      <c r="B36" s="138"/>
      <c r="C36" s="138"/>
      <c r="D36" s="111" t="s">
        <v>53</v>
      </c>
      <c r="F36" s="106"/>
    </row>
    <row r="37" spans="2:6" ht="17.25" customHeight="1" x14ac:dyDescent="0.4">
      <c r="B37" s="138"/>
      <c r="C37" s="138"/>
      <c r="D37" s="111" t="s">
        <v>18</v>
      </c>
      <c r="F37" s="106"/>
    </row>
    <row r="38" spans="2:6" ht="17.25" customHeight="1" x14ac:dyDescent="0.4">
      <c r="B38" s="138"/>
      <c r="C38" s="138"/>
      <c r="D38" s="111" t="s">
        <v>86</v>
      </c>
      <c r="F38" s="106"/>
    </row>
    <row r="39" spans="2:6" ht="17.25" customHeight="1" x14ac:dyDescent="0.4">
      <c r="B39" s="138"/>
      <c r="C39" s="138"/>
      <c r="D39" s="111" t="s">
        <v>19</v>
      </c>
    </row>
    <row r="40" spans="2:6" x14ac:dyDescent="0.4">
      <c r="B40" s="138"/>
      <c r="C40" s="138"/>
      <c r="D40" s="111"/>
      <c r="E40" s="116"/>
    </row>
    <row r="41" spans="2:6" x14ac:dyDescent="0.4">
      <c r="B41" s="138"/>
      <c r="C41" s="138"/>
    </row>
    <row r="42" spans="2:6" x14ac:dyDescent="0.4">
      <c r="B42" s="138"/>
      <c r="C42" s="138"/>
    </row>
    <row r="43" spans="2:6" ht="15" customHeight="1" x14ac:dyDescent="0.35">
      <c r="B43" s="933"/>
      <c r="C43" s="933"/>
      <c r="D43" s="933"/>
      <c r="E43" s="933"/>
      <c r="F43" s="933"/>
    </row>
    <row r="44" spans="2:6" ht="15.75" customHeight="1" x14ac:dyDescent="0.35">
      <c r="B44" s="934"/>
      <c r="C44" s="934"/>
      <c r="D44" s="934"/>
      <c r="E44" s="934"/>
      <c r="F44" s="934"/>
    </row>
    <row r="45" spans="2:6" ht="15.75" customHeight="1" x14ac:dyDescent="0.35">
      <c r="B45" s="934"/>
      <c r="C45" s="934"/>
      <c r="D45" s="934"/>
      <c r="E45" s="934"/>
      <c r="F45" s="934"/>
    </row>
    <row r="46" spans="2:6" ht="15.75" customHeight="1" x14ac:dyDescent="0.35">
      <c r="B46" s="934"/>
      <c r="C46" s="934"/>
      <c r="D46" s="934"/>
      <c r="E46" s="934"/>
      <c r="F46" s="934"/>
    </row>
    <row r="47" spans="2:6" ht="15.75" customHeight="1" x14ac:dyDescent="0.35">
      <c r="B47" s="934"/>
      <c r="C47" s="934"/>
      <c r="D47" s="934"/>
      <c r="E47" s="934"/>
      <c r="F47" s="934"/>
    </row>
    <row r="48" spans="2:6" ht="12.75" customHeight="1" x14ac:dyDescent="0.4"/>
    <row r="49" spans="2:6" ht="12.75" customHeight="1" x14ac:dyDescent="0.4"/>
    <row r="50" spans="2:6" ht="12.75" customHeight="1" x14ac:dyDescent="0.4"/>
    <row r="51" spans="2:6" ht="12.75" customHeight="1" x14ac:dyDescent="0.4"/>
    <row r="52" spans="2:6" ht="15" x14ac:dyDescent="0.35">
      <c r="B52" s="932"/>
      <c r="C52" s="932"/>
      <c r="D52" s="932"/>
      <c r="E52" s="932"/>
      <c r="F52" s="932"/>
    </row>
    <row r="53" spans="2:6" x14ac:dyDescent="0.4">
      <c r="B53" s="143"/>
      <c r="C53" s="139"/>
      <c r="D53" s="139"/>
      <c r="E53" s="140"/>
      <c r="F53" s="139"/>
    </row>
    <row r="54" spans="2:6" x14ac:dyDescent="0.4">
      <c r="B54" s="143"/>
      <c r="C54" s="139"/>
      <c r="D54" s="139"/>
      <c r="E54" s="140"/>
      <c r="F54" s="139"/>
    </row>
    <row r="55" spans="2:6" x14ac:dyDescent="0.4">
      <c r="B55" s="143"/>
      <c r="C55" s="139"/>
      <c r="D55" s="139"/>
      <c r="E55" s="140"/>
      <c r="F55" s="139"/>
    </row>
    <row r="56" spans="2:6" x14ac:dyDescent="0.4">
      <c r="B56" s="144"/>
    </row>
  </sheetData>
  <mergeCells count="4">
    <mergeCell ref="B52:F52"/>
    <mergeCell ref="B43:F43"/>
    <mergeCell ref="B44:F47"/>
    <mergeCell ref="B13:F13"/>
  </mergeCells>
  <phoneticPr fontId="24" type="noConversion"/>
  <hyperlinks>
    <hyperlink ref="D20:E20" location="BS!A1" display="Balance Sheet" xr:uid="{00000000-0004-0000-0000-000000000000}"/>
    <hyperlink ref="D21:E21" location="'Selected BS Analysis'!A1" display="Analysis of Selected Balance Sheet Items" xr:uid="{00000000-0004-0000-0000-000001000000}"/>
    <hyperlink ref="D28:E28" location="'Asset Quality'!A1" display="Asset Quality" xr:uid="{00000000-0004-0000-0000-000003000000}"/>
    <hyperlink ref="E22" location="PL!A1" display="PL!A1" xr:uid="{00000000-0004-0000-0000-000005000000}"/>
    <hyperlink ref="E28" location="'Loan Portfolio Quality'!A1" display="'Loan Portfolio Quality'!A1" xr:uid="{00000000-0004-0000-0000-000006000000}"/>
    <hyperlink ref="D31" location="'Capital Adequacy'!A1" display="Capital Adequacy" xr:uid="{00000000-0004-0000-0000-000007000000}"/>
    <hyperlink ref="D21" location="' Analysis of selected BS items'!A1" display="Analysis of Selected Balance Sheet Items" xr:uid="{00000000-0004-0000-0000-000008000000}"/>
    <hyperlink ref="E21" location="' Analysis of selected BS items'!A1" display="' Analysis of selected BS items'!A1" xr:uid="{00000000-0004-0000-0000-000009000000}"/>
    <hyperlink ref="D28" location="'Loan Portfolio Quality'!A1" display="Loan Portfolio Quality" xr:uid="{00000000-0004-0000-0000-00000C000000}"/>
    <hyperlink ref="D34" location="'Other Information'!A1" display="Other Information" xr:uid="{00000000-0004-0000-0000-00000D000000}"/>
    <hyperlink ref="D30" location="'NPE flow decomposition'!A1" display="NPE flow decomposition" xr:uid="{00000000-0004-0000-0000-00000E000000}"/>
    <hyperlink ref="E31" location="'Capital Adequacy'!A1" display="7" xr:uid="{00000000-0004-0000-0000-00000F000000}"/>
    <hyperlink ref="E34" location="'Other Information'!Print_Titles" display="8" xr:uid="{00000000-0004-0000-0000-000010000000}"/>
    <hyperlink ref="E30" location="'NPE flow decomposition'!A1" display="'NPE flow decomposition'!A1" xr:uid="{00000000-0004-0000-0000-000011000000}"/>
    <hyperlink ref="D18" location="'Financial Highlights'!Print_Area" display="Financila Highlights" xr:uid="{1AFAA5DE-8391-43CF-8E04-8351F280D267}"/>
    <hyperlink ref="E18" location="'Financial Highlights'!Print_Area" display="'Financial Highlights'!Print_Area" xr:uid="{CC69901D-CFBF-4678-BD27-008486F3DD74}"/>
    <hyperlink ref="D24" location="NFI!A1" display="Net Fee Income" xr:uid="{770F8F97-7C66-4B42-960D-15AF8A7B616D}"/>
    <hyperlink ref="D25" location="OPEX!Print_Area" display="Operating costs analysis" xr:uid="{7F774F03-A0C9-4D94-863E-13BF7CF0E945}"/>
    <hyperlink ref="D26" location="'PL Segment view'!A1" display="P&amp;L Segment view" xr:uid="{D646D995-DD71-40C2-A90B-BED25E951EBF}"/>
    <hyperlink ref="D27" location="'Performing Loans'!A1" display="Performing Loans" xr:uid="{80E650C9-F9A2-4DBA-AB2E-819BA478DBD9}"/>
    <hyperlink ref="D29" location="'IFRS9 Stages'!A1" display="IFRS9 Stages" xr:uid="{0B3C8A63-9312-4653-9915-4A5E638B3B73}"/>
    <hyperlink ref="E24" location="NFI!A1" display="NFI!A1" xr:uid="{F27659A3-1B57-4F39-8D19-436D2F035CB1}"/>
    <hyperlink ref="E25" location="OPEX!Print_Area" display="OPEX!Print_Area" xr:uid="{C9311BD2-7799-4F92-A442-8A78450B8566}"/>
    <hyperlink ref="E26" location="'PL Segment view'!A1" display="'PL Segment view'!A1" xr:uid="{A27963EB-44EB-40A2-B77B-5FCE8C3ED4BB}"/>
    <hyperlink ref="E27" location="'Performing Loans'!A1" display="'Performing Loans'!A1" xr:uid="{94464FE2-72AE-4ABB-8C0E-791B379E5851}"/>
    <hyperlink ref="E29" location="'IFRS9 Stages'!A1" display="'IFRS9 Stages'!A1" xr:uid="{359191A3-D8E8-45C7-B75A-B9CF8B76FD3C}"/>
    <hyperlink ref="D22" location="PL!A1" display="Consolidated P&amp;L" xr:uid="{00000000-0004-0000-0000-000004000000}"/>
    <hyperlink ref="D23" location="NII!A1" display="Net Interest Income" xr:uid="{053C4210-58B0-43FC-9C69-7302CBA23D42}"/>
    <hyperlink ref="E23" location="NII!A1" display="NII!A1" xr:uid="{EE2AEE4D-1B52-484A-8401-84A564DBF856}"/>
    <hyperlink ref="D20" location="'Balance Sheet'!A1" display="Consolidated Balance Sheet" xr:uid="{ACF746F8-36F0-4DAB-BA74-C250A9146D45}"/>
    <hyperlink ref="D19" location="'EPS calculations'!Print_Area" display="EPS calculations" xr:uid="{779E2F1E-060B-48D1-BB28-284FE4AB7F1E}"/>
    <hyperlink ref="E19" location="'EPS calculations'!Print_Area" display="'EPS calculations'!Print_Area" xr:uid="{E565207B-0843-4FEC-9ED9-F45267C3298A}"/>
    <hyperlink ref="E20" location="'Balance Sheet'!Print_Area" display="'Balance Sheet'!Print_Area" xr:uid="{F4D6C0F9-80BF-4CA4-A4B5-F22FBBA51A83}"/>
    <hyperlink ref="D32" location="'Debt securities'!Print_Area" display="Debt securities" xr:uid="{18A4D239-25C4-4266-90B2-F17EA50B1269}"/>
    <hyperlink ref="E32" location="'Debt securities'!Print_Area" display="'Debt securities'!Print_Area" xr:uid="{65C79287-2279-4464-BC76-265CB71E69C1}"/>
    <hyperlink ref="E33" location="'Synthetic securitizations'!Print_Area" display="'Synthetic securitizations'!Print_Area" xr:uid="{5E03A2EE-3028-458B-ABD9-98756C964C4E}"/>
    <hyperlink ref="D33" location="'Synthetic securitizations'!Print_Area" display="Synthetic securitizations of performing loans" xr:uid="{440535DA-937E-425D-9C8D-23602B8F847A}"/>
  </hyperlinks>
  <printOptions horizontalCentered="1" verticalCentered="1"/>
  <pageMargins left="0" right="0" top="0" bottom="0" header="0" footer="0"/>
  <pageSetup paperSize="9" scale="94" orientation="portrait" r:id="rId1"/>
  <headerFooter alignWithMargins="0"/>
  <rowBreaks count="1" manualBreakCount="1">
    <brk id="55" min="2" max="5"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11984-0643-4544-BD6E-B0FFA0B017B2}">
  <sheetPr codeName="Sheet9">
    <pageSetUpPr fitToPage="1"/>
  </sheetPr>
  <dimension ref="A1:M30"/>
  <sheetViews>
    <sheetView showGridLines="0" view="pageBreakPreview" zoomScale="80" zoomScaleNormal="90" zoomScaleSheetLayoutView="80" workbookViewId="0">
      <pane xSplit="2" ySplit="8" topLeftCell="C9" activePane="bottomRight" state="frozen"/>
      <selection activeCell="M28" sqref="M28"/>
      <selection pane="topRight" activeCell="M28" sqref="M28"/>
      <selection pane="bottomLeft" activeCell="M28" sqref="M28"/>
      <selection pane="bottomRight" activeCell="B5" sqref="B5:K5"/>
    </sheetView>
  </sheetViews>
  <sheetFormatPr defaultColWidth="9.109375" defaultRowHeight="15.6" x14ac:dyDescent="0.25"/>
  <cols>
    <col min="1" max="1" width="2.44140625" style="6" customWidth="1"/>
    <col min="2" max="2" width="80.6640625" style="6" customWidth="1"/>
    <col min="3" max="7" width="19.33203125" style="6" customWidth="1"/>
    <col min="8" max="8" width="2.88671875" style="6" customWidth="1"/>
    <col min="9" max="9" width="19.33203125" style="6" customWidth="1"/>
    <col min="10" max="10" width="2.33203125" style="6" customWidth="1"/>
    <col min="11" max="11" width="19.33203125" style="6" customWidth="1"/>
    <col min="12" max="12" width="3" style="6" customWidth="1"/>
    <col min="13" max="16384" width="9.109375" style="6"/>
  </cols>
  <sheetData>
    <row r="1" spans="1:13" ht="15.75" customHeight="1" x14ac:dyDescent="0.25">
      <c r="B1" s="117"/>
      <c r="C1" s="117"/>
      <c r="D1" s="117"/>
      <c r="E1" s="117"/>
      <c r="F1" s="117"/>
      <c r="G1" s="117"/>
      <c r="H1" s="117"/>
      <c r="I1" s="117"/>
      <c r="J1" s="117"/>
      <c r="K1" s="117"/>
    </row>
    <row r="2" spans="1:13" ht="15.75" customHeight="1" x14ac:dyDescent="0.25">
      <c r="B2" s="117"/>
      <c r="C2" s="120"/>
      <c r="D2" s="120"/>
      <c r="E2" s="120"/>
      <c r="F2" s="120"/>
      <c r="G2" s="117"/>
      <c r="H2" s="117"/>
      <c r="I2" s="117"/>
      <c r="J2" s="117"/>
      <c r="K2" s="119" t="s">
        <v>20</v>
      </c>
    </row>
    <row r="3" spans="1:13" ht="15.75" customHeight="1" x14ac:dyDescent="0.25">
      <c r="B3" s="117"/>
      <c r="C3" s="117"/>
      <c r="D3" s="117"/>
      <c r="E3" s="117"/>
      <c r="F3" s="117"/>
      <c r="G3" s="117"/>
      <c r="H3" s="117"/>
      <c r="I3" s="117"/>
      <c r="J3" s="117"/>
      <c r="K3" s="117"/>
    </row>
    <row r="4" spans="1:13" ht="15.75" customHeight="1" x14ac:dyDescent="0.25">
      <c r="B4" s="117"/>
      <c r="C4" s="117"/>
      <c r="D4" s="117"/>
      <c r="E4" s="117"/>
      <c r="F4" s="117"/>
      <c r="G4" s="117"/>
      <c r="H4" s="117"/>
      <c r="I4" s="117"/>
      <c r="J4" s="117"/>
      <c r="K4" s="117"/>
    </row>
    <row r="5" spans="1:13" s="17" customFormat="1" ht="27.6" x14ac:dyDescent="0.25">
      <c r="A5" s="16"/>
      <c r="B5" s="937" t="s">
        <v>596</v>
      </c>
      <c r="C5" s="941"/>
      <c r="D5" s="941"/>
      <c r="E5" s="941"/>
      <c r="F5" s="941"/>
      <c r="G5" s="941"/>
      <c r="H5" s="941"/>
      <c r="I5" s="941"/>
      <c r="J5" s="941"/>
      <c r="K5" s="941"/>
      <c r="L5" s="12"/>
      <c r="M5" s="12"/>
    </row>
    <row r="6" spans="1:13" s="17" customFormat="1" ht="9" customHeight="1" x14ac:dyDescent="0.25">
      <c r="A6" s="16"/>
      <c r="B6" s="124"/>
      <c r="C6" s="123"/>
      <c r="D6" s="123"/>
      <c r="E6" s="123"/>
      <c r="F6" s="123"/>
      <c r="G6" s="123"/>
      <c r="H6" s="123"/>
      <c r="I6" s="123"/>
      <c r="J6" s="123"/>
      <c r="K6" s="123"/>
    </row>
    <row r="7" spans="1:13" ht="15" customHeight="1" x14ac:dyDescent="0.25">
      <c r="B7" s="117"/>
      <c r="C7" s="117"/>
      <c r="D7" s="117"/>
      <c r="E7" s="117"/>
      <c r="F7" s="117"/>
      <c r="G7" s="117"/>
      <c r="H7" s="117"/>
      <c r="I7" s="117"/>
      <c r="J7" s="117"/>
      <c r="K7" s="117"/>
    </row>
    <row r="8" spans="1:13" s="7" customFormat="1" ht="33.75" customHeight="1" x14ac:dyDescent="0.25">
      <c r="B8" s="351" t="s">
        <v>0</v>
      </c>
      <c r="C8" s="352" t="s">
        <v>95</v>
      </c>
      <c r="D8" s="352" t="s">
        <v>126</v>
      </c>
      <c r="E8" s="352" t="s">
        <v>127</v>
      </c>
      <c r="F8" s="353" t="s">
        <v>41</v>
      </c>
      <c r="G8" s="354" t="s">
        <v>96</v>
      </c>
      <c r="H8" s="485"/>
      <c r="I8" s="493" t="s">
        <v>125</v>
      </c>
      <c r="J8" s="485"/>
      <c r="K8" s="493" t="s">
        <v>97</v>
      </c>
    </row>
    <row r="9" spans="1:13" s="9" customFormat="1" ht="24.75" customHeight="1" x14ac:dyDescent="0.25">
      <c r="B9" s="340" t="s">
        <v>1</v>
      </c>
      <c r="C9" s="231">
        <v>439.99029763999999</v>
      </c>
      <c r="D9" s="231">
        <v>319.08009447000001</v>
      </c>
      <c r="E9" s="231">
        <v>217.70551334999999</v>
      </c>
      <c r="F9" s="328">
        <v>2.5474729600000332</v>
      </c>
      <c r="G9" s="315">
        <f>SUM(C9:F9)</f>
        <v>979.32337842000015</v>
      </c>
      <c r="H9" s="267"/>
      <c r="I9" s="494">
        <v>-24.805203239999997</v>
      </c>
      <c r="J9" s="503"/>
      <c r="K9" s="671">
        <f>G9+I9</f>
        <v>954.51817518000018</v>
      </c>
    </row>
    <row r="10" spans="1:13" s="9" customFormat="1" ht="24.75" customHeight="1" x14ac:dyDescent="0.25">
      <c r="B10" s="340" t="s">
        <v>124</v>
      </c>
      <c r="C10" s="231">
        <v>137.5813493</v>
      </c>
      <c r="D10" s="486">
        <v>115.76021306000001</v>
      </c>
      <c r="E10" s="486">
        <v>7.8132958300000004</v>
      </c>
      <c r="F10" s="518">
        <v>16.64034268999994</v>
      </c>
      <c r="G10" s="315">
        <f t="shared" ref="G10:G12" si="0">SUM(C10:F10)</f>
        <v>277.79520087999998</v>
      </c>
      <c r="H10" s="487"/>
      <c r="I10" s="495">
        <v>1.9165036</v>
      </c>
      <c r="J10" s="504"/>
      <c r="K10" s="671">
        <f t="shared" ref="K10:K12" si="1">G10+I10</f>
        <v>279.71170447999998</v>
      </c>
    </row>
    <row r="11" spans="1:13" s="9" customFormat="1" ht="24.75" customHeight="1" x14ac:dyDescent="0.25">
      <c r="B11" s="340" t="s">
        <v>98</v>
      </c>
      <c r="C11" s="486">
        <v>0</v>
      </c>
      <c r="D11" s="486">
        <v>0</v>
      </c>
      <c r="E11" s="486">
        <v>0</v>
      </c>
      <c r="F11" s="518">
        <v>42.802810460000003</v>
      </c>
      <c r="G11" s="315">
        <f t="shared" si="0"/>
        <v>42.802810460000003</v>
      </c>
      <c r="H11" s="487"/>
      <c r="I11" s="495">
        <v>2.74070546</v>
      </c>
      <c r="J11" s="504"/>
      <c r="K11" s="671">
        <f t="shared" si="1"/>
        <v>45.543515920000004</v>
      </c>
      <c r="L11" s="40"/>
    </row>
    <row r="12" spans="1:13" s="9" customFormat="1" ht="24.75" customHeight="1" x14ac:dyDescent="0.25">
      <c r="B12" s="340" t="s">
        <v>297</v>
      </c>
      <c r="C12" s="411">
        <v>5.5625537899999999</v>
      </c>
      <c r="D12" s="411">
        <v>9.0156630000000001E-2</v>
      </c>
      <c r="E12" s="411">
        <v>50.771188729999992</v>
      </c>
      <c r="F12" s="423">
        <v>-10.365578690000001</v>
      </c>
      <c r="G12" s="315">
        <f t="shared" si="0"/>
        <v>46.05832045999999</v>
      </c>
      <c r="H12" s="487"/>
      <c r="I12" s="496">
        <v>10.604552100000001</v>
      </c>
      <c r="J12" s="504"/>
      <c r="K12" s="671">
        <f t="shared" si="1"/>
        <v>56.66287255999999</v>
      </c>
      <c r="L12" s="40"/>
      <c r="M12" s="40"/>
    </row>
    <row r="13" spans="1:13" s="9" customFormat="1" ht="24.75" customHeight="1" x14ac:dyDescent="0.25">
      <c r="B13" s="512" t="s">
        <v>202</v>
      </c>
      <c r="C13" s="516">
        <f t="shared" ref="C13:F13" si="2">SUM(C9:C12)</f>
        <v>583.13420072999998</v>
      </c>
      <c r="D13" s="516">
        <f t="shared" si="2"/>
        <v>434.93046416000004</v>
      </c>
      <c r="E13" s="516">
        <f t="shared" si="2"/>
        <v>276.28999790999995</v>
      </c>
      <c r="F13" s="519">
        <f t="shared" si="2"/>
        <v>51.62504741999998</v>
      </c>
      <c r="G13" s="517">
        <f>SUM(C13:F13)</f>
        <v>1345.9797102199998</v>
      </c>
      <c r="H13" s="487"/>
      <c r="I13" s="497">
        <f>SUM(I9:I12)</f>
        <v>-9.5434420799999966</v>
      </c>
      <c r="J13" s="504"/>
      <c r="K13" s="672">
        <f>G13+I13</f>
        <v>1336.4362681399998</v>
      </c>
      <c r="L13" s="40"/>
    </row>
    <row r="14" spans="1:13" s="9" customFormat="1" ht="24.75" customHeight="1" x14ac:dyDescent="0.25">
      <c r="B14" s="340" t="s">
        <v>244</v>
      </c>
      <c r="C14" s="508">
        <v>-221.40093282000001</v>
      </c>
      <c r="D14" s="508">
        <v>-92.415877939999987</v>
      </c>
      <c r="E14" s="508">
        <v>-27.538054129999999</v>
      </c>
      <c r="F14" s="520">
        <v>-75.867794609999947</v>
      </c>
      <c r="G14" s="415">
        <f>SUM(C14:F14)</f>
        <v>-417.22265949999996</v>
      </c>
      <c r="H14" s="487"/>
      <c r="I14" s="496">
        <v>-18.599653829999998</v>
      </c>
      <c r="J14" s="504"/>
      <c r="K14" s="671">
        <f>G14+I14</f>
        <v>-435.82231332999999</v>
      </c>
      <c r="L14" s="40"/>
      <c r="M14" s="6"/>
    </row>
    <row r="15" spans="1:13" s="9" customFormat="1" ht="24.75" customHeight="1" x14ac:dyDescent="0.25">
      <c r="B15" s="515" t="s">
        <v>268</v>
      </c>
      <c r="C15" s="514">
        <f t="shared" ref="C15:E15" si="3">C13+C14</f>
        <v>361.73326791</v>
      </c>
      <c r="D15" s="514">
        <f t="shared" si="3"/>
        <v>342.51458622000007</v>
      </c>
      <c r="E15" s="514">
        <f t="shared" si="3"/>
        <v>248.75194377999995</v>
      </c>
      <c r="F15" s="521">
        <f>F13+F14</f>
        <v>-24.242747189999967</v>
      </c>
      <c r="G15" s="517">
        <f>SUM(C15:F15)</f>
        <v>928.75705072000005</v>
      </c>
      <c r="H15" s="488"/>
      <c r="I15" s="497">
        <f>I13+I14</f>
        <v>-28.143095909999992</v>
      </c>
      <c r="J15" s="504"/>
      <c r="K15" s="672">
        <f>G15+I15</f>
        <v>900.61395481000011</v>
      </c>
      <c r="L15" s="40"/>
    </row>
    <row r="16" spans="1:13" s="9" customFormat="1" ht="24.75" customHeight="1" x14ac:dyDescent="0.25">
      <c r="B16" s="340" t="s">
        <v>269</v>
      </c>
      <c r="C16" s="508">
        <v>-65.458343560000003</v>
      </c>
      <c r="D16" s="508">
        <v>-33.161798940000004</v>
      </c>
      <c r="E16" s="508">
        <v>-1.3362800000000013E-3</v>
      </c>
      <c r="F16" s="520">
        <v>-0.18342786</v>
      </c>
      <c r="G16" s="415">
        <f>SUM(C16:F16)</f>
        <v>-98.804906640000013</v>
      </c>
      <c r="H16" s="487"/>
      <c r="I16" s="496">
        <v>-7.4144523800000144</v>
      </c>
      <c r="J16" s="504"/>
      <c r="K16" s="673">
        <f>G16+I16</f>
        <v>-106.21935902000003</v>
      </c>
      <c r="L16" s="40"/>
    </row>
    <row r="17" spans="2:12" s="9" customFormat="1" ht="24.75" customHeight="1" x14ac:dyDescent="0.25">
      <c r="B17" s="340" t="s">
        <v>270</v>
      </c>
      <c r="C17" s="508">
        <v>-0.36399790999999998</v>
      </c>
      <c r="D17" s="508">
        <v>0.84287263000000001</v>
      </c>
      <c r="E17" s="508">
        <v>-0.20036853999999998</v>
      </c>
      <c r="F17" s="520">
        <v>5.4248309999975278E-2</v>
      </c>
      <c r="G17" s="415">
        <f t="shared" ref="G17:G18" si="4">SUM(C17:F17)</f>
        <v>0.33275448999997531</v>
      </c>
      <c r="H17" s="487"/>
      <c r="I17" s="496">
        <v>-2.6647914799999999</v>
      </c>
      <c r="J17" s="504"/>
      <c r="K17" s="673">
        <f t="shared" ref="K17:K18" si="5">G17+I17</f>
        <v>-2.3320369900000246</v>
      </c>
      <c r="L17" s="40"/>
    </row>
    <row r="18" spans="2:12" s="9" customFormat="1" ht="24.75" customHeight="1" x14ac:dyDescent="0.25">
      <c r="B18" s="340" t="s">
        <v>271</v>
      </c>
      <c r="C18" s="411">
        <v>-0.10085242</v>
      </c>
      <c r="D18" s="411">
        <v>0</v>
      </c>
      <c r="E18" s="411">
        <v>0</v>
      </c>
      <c r="F18" s="423">
        <v>-0.88018912000000005</v>
      </c>
      <c r="G18" s="415">
        <f t="shared" si="4"/>
        <v>-0.9810415400000001</v>
      </c>
      <c r="H18" s="487"/>
      <c r="I18" s="496">
        <v>-14.79778705</v>
      </c>
      <c r="J18" s="504"/>
      <c r="K18" s="673">
        <f t="shared" si="5"/>
        <v>-15.77882859</v>
      </c>
      <c r="L18" s="40"/>
    </row>
    <row r="19" spans="2:12" s="9" customFormat="1" ht="24.75" customHeight="1" x14ac:dyDescent="0.25">
      <c r="B19" s="512" t="s">
        <v>430</v>
      </c>
      <c r="C19" s="514">
        <f>SUM(C15:C18)</f>
        <v>295.81007401999994</v>
      </c>
      <c r="D19" s="514">
        <f t="shared" ref="D19:E19" si="6">SUM(D15:D18)</f>
        <v>310.19565991000007</v>
      </c>
      <c r="E19" s="514">
        <f t="shared" si="6"/>
        <v>248.55023895999994</v>
      </c>
      <c r="F19" s="521">
        <f>SUM(F15:F18)</f>
        <v>-25.252115859999993</v>
      </c>
      <c r="G19" s="517">
        <f>SUM(G15:G18)</f>
        <v>829.30385703000002</v>
      </c>
      <c r="H19" s="487"/>
      <c r="I19" s="497">
        <f>SUM(I15:I18)</f>
        <v>-53.020126820000002</v>
      </c>
      <c r="J19" s="504"/>
      <c r="K19" s="672">
        <f>SUM(K15:K18)</f>
        <v>776.28373021000004</v>
      </c>
      <c r="L19" s="40"/>
    </row>
    <row r="20" spans="2:12" s="9" customFormat="1" ht="14.25" customHeight="1" x14ac:dyDescent="0.25">
      <c r="B20" s="509"/>
      <c r="C20" s="510"/>
      <c r="D20" s="510"/>
      <c r="E20" s="510"/>
      <c r="F20" s="522"/>
      <c r="G20" s="415"/>
      <c r="H20" s="487"/>
      <c r="I20" s="498"/>
      <c r="J20" s="504"/>
      <c r="K20" s="674"/>
      <c r="L20" s="40"/>
    </row>
    <row r="21" spans="2:12" s="9" customFormat="1" ht="24.75" customHeight="1" x14ac:dyDescent="0.25">
      <c r="B21" s="512" t="s">
        <v>328</v>
      </c>
      <c r="C21" s="513">
        <v>11553.030124319976</v>
      </c>
      <c r="D21" s="513">
        <v>27297.919134029969</v>
      </c>
      <c r="E21" s="513">
        <v>27629.078876369997</v>
      </c>
      <c r="F21" s="523">
        <v>6163.4986456702209</v>
      </c>
      <c r="G21" s="517">
        <f>SUM(C21:F21)</f>
        <v>72643.526780390152</v>
      </c>
      <c r="H21" s="506"/>
      <c r="I21" s="499">
        <v>8605.7333725000099</v>
      </c>
      <c r="J21" s="503"/>
      <c r="K21" s="672">
        <f>G21+I21</f>
        <v>81249.260152890158</v>
      </c>
    </row>
    <row r="22" spans="2:12" s="9" customFormat="1" ht="12" customHeight="1" x14ac:dyDescent="0.25">
      <c r="B22" s="509"/>
      <c r="C22" s="510"/>
      <c r="D22" s="510"/>
      <c r="E22" s="510"/>
      <c r="F22" s="522"/>
      <c r="G22" s="315"/>
      <c r="H22" s="506"/>
      <c r="I22" s="494"/>
      <c r="J22" s="503"/>
      <c r="K22" s="671"/>
    </row>
    <row r="23" spans="2:12" s="9" customFormat="1" ht="24.75" customHeight="1" x14ac:dyDescent="0.25">
      <c r="B23" s="509" t="s">
        <v>272</v>
      </c>
      <c r="C23" s="489">
        <f>C9*2/C21</f>
        <v>7.6168813359845419E-2</v>
      </c>
      <c r="D23" s="489">
        <f>D9*2/D21</f>
        <v>2.337761298971908E-2</v>
      </c>
      <c r="E23" s="489">
        <f>E9*2/E21</f>
        <v>1.575915826395461E-2</v>
      </c>
      <c r="F23" s="524">
        <f>F9*2/F21</f>
        <v>8.2663211479395732E-4</v>
      </c>
      <c r="G23" s="219">
        <f>G9*2/G21</f>
        <v>2.6962440339126398E-2</v>
      </c>
      <c r="H23" s="507"/>
      <c r="I23" s="500">
        <f>I9*2/I21</f>
        <v>-5.7648086842351145E-3</v>
      </c>
      <c r="J23" s="505"/>
      <c r="K23" s="675">
        <f>K9*2/K21</f>
        <v>2.3496045954974683E-2</v>
      </c>
    </row>
    <row r="24" spans="2:12" s="9" customFormat="1" ht="24.75" customHeight="1" x14ac:dyDescent="0.25">
      <c r="B24" s="509" t="s">
        <v>273</v>
      </c>
      <c r="C24" s="489">
        <f>(C10+C11)*2/C21</f>
        <v>2.3817361821013721E-2</v>
      </c>
      <c r="D24" s="489">
        <f>(D10+D11)*2/D21</f>
        <v>8.4812481487419825E-3</v>
      </c>
      <c r="E24" s="489">
        <f>(E10+E11)*2/E21</f>
        <v>5.6558496683596551E-4</v>
      </c>
      <c r="F24" s="524">
        <f>(F10+F11)*2/F21</f>
        <v>1.9288769761232283E-2</v>
      </c>
      <c r="G24" s="219">
        <f>(G10+G11)*2/G21</f>
        <v>8.8266092121106702E-3</v>
      </c>
      <c r="H24" s="490"/>
      <c r="I24" s="500">
        <f>(I10+I11*2)/I21</f>
        <v>8.5964951501290448E-4</v>
      </c>
      <c r="J24" s="490"/>
      <c r="K24" s="675">
        <f>(K10+K11)*2/K21</f>
        <v>8.0063552526620802E-3</v>
      </c>
    </row>
    <row r="25" spans="2:12" s="9" customFormat="1" ht="24.75" customHeight="1" x14ac:dyDescent="0.25">
      <c r="B25" s="509" t="s">
        <v>274</v>
      </c>
      <c r="C25" s="491">
        <f t="shared" ref="C25:K25" si="7">-C14/(C9+C10+C11)</f>
        <v>0.38333068112500313</v>
      </c>
      <c r="D25" s="491">
        <f t="shared" si="7"/>
        <v>0.2125283151990783</v>
      </c>
      <c r="E25" s="491">
        <f t="shared" si="7"/>
        <v>0.12210978866964591</v>
      </c>
      <c r="F25" s="525">
        <f>-F14/(F9+F10+F11)</f>
        <v>1.2238591440482545</v>
      </c>
      <c r="G25" s="222">
        <f t="shared" si="7"/>
        <v>0.32095991556614839</v>
      </c>
      <c r="H25" s="492"/>
      <c r="I25" s="501" t="s">
        <v>167</v>
      </c>
      <c r="J25" s="492"/>
      <c r="K25" s="676">
        <f t="shared" si="7"/>
        <v>0.34054647083242645</v>
      </c>
    </row>
    <row r="26" spans="2:12" s="9" customFormat="1" ht="24.75" customHeight="1" x14ac:dyDescent="0.25">
      <c r="B26" s="509" t="s">
        <v>275</v>
      </c>
      <c r="C26" s="489">
        <f>C15*2/C21</f>
        <v>6.2621366692107022E-2</v>
      </c>
      <c r="D26" s="489">
        <f>D15*2/D21</f>
        <v>2.5094556441338164E-2</v>
      </c>
      <c r="E26" s="489">
        <f>E15*2/E21</f>
        <v>1.8006531806078207E-2</v>
      </c>
      <c r="F26" s="524">
        <f>F15*2/F21</f>
        <v>-7.8665539115613144E-3</v>
      </c>
      <c r="G26" s="219">
        <f>G15*2/G21</f>
        <v>2.5570263226006106E-2</v>
      </c>
      <c r="H26" s="490"/>
      <c r="I26" s="500">
        <f>I15*2/I21</f>
        <v>-6.5405456320393246E-3</v>
      </c>
      <c r="J26" s="490"/>
      <c r="K26" s="675">
        <f>K15*2/K21</f>
        <v>2.2169160755809391E-2</v>
      </c>
    </row>
    <row r="27" spans="2:12" s="9" customFormat="1" ht="24.75" customHeight="1" x14ac:dyDescent="0.25">
      <c r="B27" s="509" t="s">
        <v>276</v>
      </c>
      <c r="C27" s="489">
        <v>1.4546886479188562E-2</v>
      </c>
      <c r="D27" s="489">
        <v>2.6062663147094121E-3</v>
      </c>
      <c r="E27" s="489">
        <v>3.369809414343889E-6</v>
      </c>
      <c r="F27" s="524">
        <v>4.1474966265021866E-3</v>
      </c>
      <c r="G27" s="219">
        <v>5.5934289117751069E-3</v>
      </c>
      <c r="H27" s="490"/>
      <c r="I27" s="500">
        <v>2.3647111721559208E-3</v>
      </c>
      <c r="J27" s="490"/>
      <c r="K27" s="675">
        <v>5.1067198685924809E-3</v>
      </c>
    </row>
    <row r="28" spans="2:12" s="9" customFormat="1" ht="24.75" customHeight="1" x14ac:dyDescent="0.25">
      <c r="B28" s="316" t="s">
        <v>99</v>
      </c>
      <c r="C28" s="511">
        <f>C19*2/C21</f>
        <v>5.1209089015928043E-2</v>
      </c>
      <c r="D28" s="511">
        <f>D19*2/D21</f>
        <v>2.2726689048126442E-2</v>
      </c>
      <c r="E28" s="511">
        <f>E19*2/E21</f>
        <v>1.7991930898034726E-2</v>
      </c>
      <c r="F28" s="526">
        <f>F19*2/F21</f>
        <v>-8.1940849870192744E-3</v>
      </c>
      <c r="G28" s="225">
        <f>G19*2/G21</f>
        <v>2.2832147440668246E-2</v>
      </c>
      <c r="H28" s="490"/>
      <c r="I28" s="502">
        <f>I19*2/I21</f>
        <v>-1.2322047296847027E-2</v>
      </c>
      <c r="J28" s="490"/>
      <c r="K28" s="677">
        <f>K19*2/K21</f>
        <v>1.9108696589956245E-2</v>
      </c>
    </row>
    <row r="29" spans="2:12" ht="11.25" customHeight="1" x14ac:dyDescent="0.25">
      <c r="B29" s="271"/>
      <c r="C29" s="271"/>
      <c r="D29" s="271"/>
      <c r="E29" s="271"/>
      <c r="F29" s="271"/>
      <c r="G29" s="271"/>
      <c r="H29" s="271"/>
      <c r="I29" s="271"/>
      <c r="J29" s="271"/>
      <c r="K29" s="271"/>
    </row>
    <row r="30" spans="2:12" x14ac:dyDescent="0.25">
      <c r="B30" s="949" t="s">
        <v>295</v>
      </c>
      <c r="C30" s="949"/>
      <c r="D30" s="949"/>
      <c r="E30" s="949"/>
      <c r="F30" s="949"/>
      <c r="G30" s="949"/>
      <c r="H30" s="949"/>
      <c r="I30" s="949"/>
      <c r="J30" s="949"/>
      <c r="K30" s="949"/>
    </row>
  </sheetData>
  <mergeCells count="2">
    <mergeCell ref="B5:K5"/>
    <mergeCell ref="B30:K30"/>
  </mergeCells>
  <phoneticPr fontId="24" type="noConversion"/>
  <hyperlinks>
    <hyperlink ref="K2" location="'Cover '!A1" display="Back to Cover" xr:uid="{32C074CC-BB46-4B4F-A093-1AD8656DCB33}"/>
  </hyperlinks>
  <printOptions horizontalCentered="1" verticalCentered="1"/>
  <pageMargins left="0" right="0" top="0" bottom="0" header="0" footer="0"/>
  <pageSetup paperSize="8" scale="94"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A046A-8ACA-436A-8022-FF8CABA3D9E8}">
  <sheetPr codeName="Foglio7">
    <pageSetUpPr fitToPage="1"/>
  </sheetPr>
  <dimension ref="A1:S38"/>
  <sheetViews>
    <sheetView showGridLines="0" view="pageBreakPreview" zoomScale="85" zoomScaleNormal="90" zoomScaleSheetLayoutView="85" workbookViewId="0">
      <pane xSplit="2" topLeftCell="C1" activePane="topRight" state="frozen"/>
      <selection activeCell="M28" sqref="M28"/>
      <selection pane="topRight" activeCell="B5" sqref="B5:L5"/>
    </sheetView>
  </sheetViews>
  <sheetFormatPr defaultColWidth="9.109375" defaultRowHeight="15" customHeight="1" x14ac:dyDescent="0.2"/>
  <cols>
    <col min="1" max="1" width="2.44140625" style="20" customWidth="1"/>
    <col min="2" max="2" width="41" style="20" customWidth="1"/>
    <col min="3" max="12" width="14.5546875" style="22" customWidth="1"/>
    <col min="13" max="13" width="2.44140625" style="20" customWidth="1"/>
    <col min="14" max="14" width="9.109375" style="20"/>
    <col min="15" max="15" width="12.44140625" style="20" bestFit="1" customWidth="1"/>
    <col min="16" max="16384" width="9.109375" style="20"/>
  </cols>
  <sheetData>
    <row r="1" spans="1:19" s="23" customFormat="1" ht="15.75" customHeight="1" x14ac:dyDescent="0.4">
      <c r="B1" s="527"/>
      <c r="C1" s="527"/>
      <c r="D1" s="527"/>
      <c r="E1" s="527"/>
      <c r="F1" s="527"/>
      <c r="G1" s="527"/>
      <c r="H1" s="527"/>
      <c r="I1" s="527"/>
      <c r="J1" s="527"/>
      <c r="K1" s="527"/>
      <c r="L1" s="527"/>
    </row>
    <row r="2" spans="1:19" s="23" customFormat="1" ht="15.75" customHeight="1" x14ac:dyDescent="0.4">
      <c r="B2" s="527"/>
      <c r="C2" s="527"/>
      <c r="D2" s="527"/>
      <c r="E2" s="527"/>
      <c r="F2" s="527"/>
      <c r="G2" s="527"/>
      <c r="H2" s="527"/>
      <c r="I2" s="527"/>
      <c r="J2" s="527"/>
      <c r="K2" s="527"/>
      <c r="L2" s="528" t="s">
        <v>20</v>
      </c>
    </row>
    <row r="3" spans="1:19" s="23" customFormat="1" ht="15.75" customHeight="1" x14ac:dyDescent="0.4">
      <c r="B3" s="527"/>
      <c r="C3" s="527"/>
      <c r="D3" s="527"/>
      <c r="E3" s="527"/>
      <c r="F3" s="527"/>
      <c r="G3" s="527"/>
      <c r="H3" s="527"/>
      <c r="I3" s="527"/>
      <c r="J3" s="527"/>
      <c r="K3" s="527"/>
      <c r="L3" s="527"/>
    </row>
    <row r="4" spans="1:19" s="24" customFormat="1" ht="15.75" customHeight="1" x14ac:dyDescent="0.35">
      <c r="B4" s="529"/>
      <c r="C4" s="529"/>
      <c r="D4" s="529"/>
      <c r="E4" s="529"/>
      <c r="F4" s="529"/>
      <c r="G4" s="529"/>
      <c r="H4" s="529"/>
      <c r="I4" s="529"/>
      <c r="J4" s="529"/>
      <c r="K4" s="529"/>
      <c r="L4" s="529"/>
    </row>
    <row r="5" spans="1:19" ht="27.6" x14ac:dyDescent="0.2">
      <c r="A5" s="16"/>
      <c r="B5" s="937" t="s">
        <v>104</v>
      </c>
      <c r="C5" s="937"/>
      <c r="D5" s="937"/>
      <c r="E5" s="937"/>
      <c r="F5" s="937"/>
      <c r="G5" s="937"/>
      <c r="H5" s="937"/>
      <c r="I5" s="937"/>
      <c r="J5" s="937"/>
      <c r="K5" s="937"/>
      <c r="L5" s="937"/>
    </row>
    <row r="6" spans="1:19" ht="9" customHeight="1" x14ac:dyDescent="0.2">
      <c r="A6" s="16"/>
      <c r="B6" s="124"/>
      <c r="C6" s="124"/>
      <c r="D6" s="124"/>
      <c r="E6" s="124"/>
      <c r="F6" s="124"/>
      <c r="G6" s="124"/>
      <c r="H6" s="124"/>
      <c r="I6" s="124"/>
      <c r="J6" s="124"/>
      <c r="K6" s="124"/>
      <c r="L6" s="124"/>
    </row>
    <row r="7" spans="1:19" ht="11.25" customHeight="1" x14ac:dyDescent="0.2">
      <c r="A7" s="18"/>
      <c r="B7" s="484"/>
      <c r="C7" s="484"/>
      <c r="D7" s="484"/>
      <c r="E7" s="484"/>
      <c r="F7" s="484"/>
      <c r="G7" s="484"/>
      <c r="H7" s="484"/>
      <c r="I7" s="484"/>
      <c r="J7" s="484"/>
      <c r="K7" s="484"/>
      <c r="L7" s="484"/>
    </row>
    <row r="8" spans="1:19" s="23" customFormat="1" ht="11.25" customHeight="1" x14ac:dyDescent="0.4">
      <c r="B8" s="527"/>
      <c r="C8" s="530"/>
      <c r="D8" s="530"/>
      <c r="E8" s="530"/>
      <c r="F8" s="530"/>
      <c r="G8" s="530"/>
      <c r="H8" s="530"/>
      <c r="I8" s="530"/>
      <c r="J8" s="530"/>
      <c r="K8" s="530"/>
      <c r="L8" s="530"/>
    </row>
    <row r="9" spans="1:19" s="23" customFormat="1" ht="28.5" customHeight="1" x14ac:dyDescent="0.3">
      <c r="B9" s="537"/>
      <c r="C9" s="538">
        <v>45016</v>
      </c>
      <c r="D9" s="538">
        <v>45107</v>
      </c>
      <c r="E9" s="538">
        <v>45199</v>
      </c>
      <c r="F9" s="538">
        <v>45291</v>
      </c>
      <c r="G9" s="538">
        <v>45382</v>
      </c>
      <c r="H9" s="538">
        <v>45473</v>
      </c>
      <c r="I9" s="538">
        <v>45565</v>
      </c>
      <c r="J9" s="538">
        <v>45657</v>
      </c>
      <c r="K9" s="551">
        <v>45747</v>
      </c>
      <c r="L9" s="539">
        <v>45838</v>
      </c>
    </row>
    <row r="10" spans="1:19" s="25" customFormat="1" ht="20.25" customHeight="1" x14ac:dyDescent="0.4">
      <c r="B10" s="540" t="s">
        <v>112</v>
      </c>
      <c r="C10" s="534"/>
      <c r="D10" s="534"/>
      <c r="E10" s="541"/>
      <c r="F10" s="534"/>
      <c r="G10" s="534"/>
      <c r="H10" s="541"/>
      <c r="I10" s="541"/>
      <c r="J10" s="541"/>
      <c r="K10" s="815"/>
      <c r="L10" s="542"/>
      <c r="O10" s="709"/>
    </row>
    <row r="11" spans="1:19" s="25" customFormat="1" ht="20.25" customHeight="1" x14ac:dyDescent="0.4">
      <c r="B11" s="543" t="s">
        <v>277</v>
      </c>
      <c r="C11" s="534">
        <v>20383.713875636407</v>
      </c>
      <c r="D11" s="534">
        <v>21105.375983716935</v>
      </c>
      <c r="E11" s="541">
        <v>21515.487456171279</v>
      </c>
      <c r="F11" s="534">
        <v>22337.0366032124</v>
      </c>
      <c r="G11" s="534">
        <v>22236.156401214306</v>
      </c>
      <c r="H11" s="541">
        <v>23518.711968549593</v>
      </c>
      <c r="I11" s="541">
        <v>24205.606308614799</v>
      </c>
      <c r="J11" s="541">
        <v>25894.374609311682</v>
      </c>
      <c r="K11" s="815">
        <v>27064.902322824008</v>
      </c>
      <c r="L11" s="542">
        <v>28094.1094193032</v>
      </c>
      <c r="N11" s="49"/>
      <c r="O11" s="49"/>
      <c r="P11" s="49"/>
      <c r="Q11" s="49"/>
      <c r="R11" s="49"/>
    </row>
    <row r="12" spans="1:19" s="25" customFormat="1" ht="20.25" customHeight="1" x14ac:dyDescent="0.4">
      <c r="B12" s="544" t="s">
        <v>278</v>
      </c>
      <c r="C12" s="535">
        <f t="shared" ref="C12" si="0">C11-C13-C14-C15</f>
        <v>9281.8161640464004</v>
      </c>
      <c r="D12" s="535">
        <f t="shared" ref="D12" si="1">D11-D13-D14-D15</f>
        <v>9745.6582291369305</v>
      </c>
      <c r="E12" s="545">
        <f t="shared" ref="E12" si="2">E11-E13-E14-E15</f>
        <v>10065.280643251277</v>
      </c>
      <c r="F12" s="535">
        <f t="shared" ref="F12" si="3">F11-F13-F14-F15</f>
        <v>10523.980135152398</v>
      </c>
      <c r="G12" s="535">
        <f t="shared" ref="G12" si="4">G11-G13-G14-G15</f>
        <v>10581.835123744306</v>
      </c>
      <c r="H12" s="545">
        <f t="shared" ref="H12" si="5">H11-H13-H14-H15</f>
        <v>11033.950242489589</v>
      </c>
      <c r="I12" s="545">
        <f t="shared" ref="I12" si="6">I11-I13-I14-I15</f>
        <v>11842.633778324784</v>
      </c>
      <c r="J12" s="545">
        <f t="shared" ref="J12" si="7">J11-J13-J14-J15</f>
        <v>13025.036070451675</v>
      </c>
      <c r="K12" s="910">
        <f>K11-K13-K14-K15</f>
        <v>14162.677626104012</v>
      </c>
      <c r="L12" s="546">
        <f>L11-L13-L14-L15</f>
        <v>14733.919758007816</v>
      </c>
      <c r="N12" s="99"/>
      <c r="O12" s="49"/>
      <c r="P12" s="49"/>
      <c r="Q12" s="49"/>
      <c r="R12" s="49"/>
      <c r="S12" s="708"/>
    </row>
    <row r="13" spans="1:19" s="25" customFormat="1" ht="20.25" customHeight="1" x14ac:dyDescent="0.4">
      <c r="B13" s="544" t="s">
        <v>630</v>
      </c>
      <c r="C13" s="535">
        <v>6694.1187481200059</v>
      </c>
      <c r="D13" s="535">
        <v>6832.391938460004</v>
      </c>
      <c r="E13" s="545">
        <v>6796.5263917200018</v>
      </c>
      <c r="F13" s="535">
        <v>7081.0268142800005</v>
      </c>
      <c r="G13" s="535">
        <v>6887.6299575700004</v>
      </c>
      <c r="H13" s="545">
        <v>7189.9548364700013</v>
      </c>
      <c r="I13" s="545">
        <v>7159.8794932700157</v>
      </c>
      <c r="J13" s="545">
        <v>7315.2876372000082</v>
      </c>
      <c r="K13" s="910">
        <v>7427.3356251599962</v>
      </c>
      <c r="L13" s="546">
        <v>7714.6949108053868</v>
      </c>
      <c r="N13" s="99"/>
      <c r="O13" s="49"/>
      <c r="P13" s="49"/>
      <c r="R13" s="49"/>
      <c r="S13" s="79"/>
    </row>
    <row r="14" spans="1:19" s="25" customFormat="1" ht="20.25" customHeight="1" x14ac:dyDescent="0.4">
      <c r="B14" s="544" t="s">
        <v>106</v>
      </c>
      <c r="C14" s="535">
        <v>2407.4997594500005</v>
      </c>
      <c r="D14" s="535">
        <v>2344.1885000699999</v>
      </c>
      <c r="E14" s="545">
        <v>2455.9835172100002</v>
      </c>
      <c r="F14" s="535">
        <v>2476.2879172100002</v>
      </c>
      <c r="G14" s="535">
        <v>2525.2433058999995</v>
      </c>
      <c r="H14" s="545">
        <v>2990.9356095900002</v>
      </c>
      <c r="I14" s="545">
        <v>2911.2199500799993</v>
      </c>
      <c r="J14" s="545">
        <v>3079.1959298500001</v>
      </c>
      <c r="K14" s="910">
        <v>3071.9958869899997</v>
      </c>
      <c r="L14" s="546">
        <v>3148.9544836599998</v>
      </c>
      <c r="N14" s="99"/>
      <c r="O14" s="49"/>
      <c r="P14" s="49"/>
      <c r="Q14" s="49"/>
      <c r="R14" s="49"/>
    </row>
    <row r="15" spans="1:19" s="25" customFormat="1" ht="20.25" customHeight="1" x14ac:dyDescent="0.4">
      <c r="B15" s="544" t="s">
        <v>105</v>
      </c>
      <c r="C15" s="535">
        <v>2000.2792040200002</v>
      </c>
      <c r="D15" s="535">
        <v>2183.1373160499993</v>
      </c>
      <c r="E15" s="545">
        <v>2197.6969039899996</v>
      </c>
      <c r="F15" s="535">
        <v>2255.7417365699998</v>
      </c>
      <c r="G15" s="535">
        <v>2241.4480140000005</v>
      </c>
      <c r="H15" s="545">
        <v>2303.8712800000012</v>
      </c>
      <c r="I15" s="545">
        <v>2291.8730869399997</v>
      </c>
      <c r="J15" s="545">
        <v>2474.8549718099994</v>
      </c>
      <c r="K15" s="910">
        <v>2402.8931845700008</v>
      </c>
      <c r="L15" s="546">
        <v>2496.5402668299989</v>
      </c>
      <c r="N15" s="99"/>
      <c r="O15" s="49"/>
      <c r="P15" s="49"/>
      <c r="Q15" s="49"/>
      <c r="R15" s="49"/>
    </row>
    <row r="16" spans="1:19" s="25" customFormat="1" ht="20.25" customHeight="1" x14ac:dyDescent="0.4">
      <c r="B16" s="543" t="s">
        <v>279</v>
      </c>
      <c r="C16" s="534">
        <f t="shared" ref="C16" si="8">+C17+C18</f>
        <v>7964.6417155700037</v>
      </c>
      <c r="D16" s="534">
        <f t="shared" ref="D16" si="9">+D17+D18</f>
        <v>7882.2077686799548</v>
      </c>
      <c r="E16" s="541">
        <f t="shared" ref="E16" si="10">+E17+E18</f>
        <v>7836.4035779199885</v>
      </c>
      <c r="F16" s="534">
        <f t="shared" ref="F16" si="11">+F17+F18</f>
        <v>7796.9199076700161</v>
      </c>
      <c r="G16" s="534">
        <f t="shared" ref="G16" si="12">+G17+G18</f>
        <v>7756.5411244300494</v>
      </c>
      <c r="H16" s="541">
        <f t="shared" ref="H16" si="13">+H17+H18</f>
        <v>7767.6559861499918</v>
      </c>
      <c r="I16" s="541">
        <f t="shared" ref="I16" si="14">+I17+I18</f>
        <v>7781.3331347799849</v>
      </c>
      <c r="J16" s="541">
        <f t="shared" ref="J16" si="15">+J17+J18</f>
        <v>7821.979095760119</v>
      </c>
      <c r="K16" s="815">
        <f t="shared" ref="K16:L16" si="16">+K17+K18</f>
        <v>7713.8358623999293</v>
      </c>
      <c r="L16" s="542">
        <f t="shared" si="16"/>
        <v>7782.4076361298921</v>
      </c>
      <c r="N16" s="49"/>
      <c r="O16" s="49"/>
      <c r="P16" s="49"/>
      <c r="Q16" s="49"/>
      <c r="R16" s="49"/>
    </row>
    <row r="17" spans="2:18" s="25" customFormat="1" ht="20.25" customHeight="1" x14ac:dyDescent="0.4">
      <c r="B17" s="544" t="s">
        <v>107</v>
      </c>
      <c r="C17" s="535">
        <v>6359.2653837400221</v>
      </c>
      <c r="D17" s="535">
        <v>6261.5478573899682</v>
      </c>
      <c r="E17" s="545">
        <v>6196.5699702999837</v>
      </c>
      <c r="F17" s="535">
        <v>6202.9458829600107</v>
      </c>
      <c r="G17" s="535">
        <v>6161.187211230028</v>
      </c>
      <c r="H17" s="545">
        <v>6132.6417113399948</v>
      </c>
      <c r="I17" s="545">
        <v>6120.0250055500019</v>
      </c>
      <c r="J17" s="545">
        <v>6097.4436284701369</v>
      </c>
      <c r="K17" s="910">
        <v>6020.0994846799322</v>
      </c>
      <c r="L17" s="546">
        <v>6031.7343134299117</v>
      </c>
      <c r="N17" s="49"/>
      <c r="O17" s="49"/>
      <c r="P17" s="49"/>
      <c r="Q17" s="49"/>
      <c r="R17" s="49"/>
    </row>
    <row r="18" spans="2:18" s="25" customFormat="1" ht="20.25" customHeight="1" x14ac:dyDescent="0.4">
      <c r="B18" s="544" t="s">
        <v>120</v>
      </c>
      <c r="C18" s="535">
        <v>1605.3763318299812</v>
      </c>
      <c r="D18" s="535">
        <v>1620.6599112899867</v>
      </c>
      <c r="E18" s="545">
        <v>1639.8336076200046</v>
      </c>
      <c r="F18" s="535">
        <v>1593.9740247100056</v>
      </c>
      <c r="G18" s="535">
        <v>1595.3539132000217</v>
      </c>
      <c r="H18" s="545">
        <v>1635.0142748099968</v>
      </c>
      <c r="I18" s="545">
        <v>1661.308129229983</v>
      </c>
      <c r="J18" s="545">
        <v>1724.5354672899823</v>
      </c>
      <c r="K18" s="910">
        <v>1693.7363777199971</v>
      </c>
      <c r="L18" s="546">
        <v>1750.6733226999809</v>
      </c>
      <c r="N18" s="49"/>
      <c r="O18" s="49"/>
      <c r="P18" s="49"/>
      <c r="R18" s="49"/>
    </row>
    <row r="19" spans="2:18" s="25" customFormat="1" ht="20.25" customHeight="1" x14ac:dyDescent="0.4">
      <c r="B19" s="543" t="s">
        <v>128</v>
      </c>
      <c r="C19" s="534">
        <v>6034.0444514236096</v>
      </c>
      <c r="D19" s="534">
        <v>5951.678018693071</v>
      </c>
      <c r="E19" s="541">
        <v>5900.8357836587293</v>
      </c>
      <c r="F19" s="534">
        <v>5984.423639567588</v>
      </c>
      <c r="G19" s="534">
        <v>5902.6959318857143</v>
      </c>
      <c r="H19" s="541">
        <v>5848.6639154404074</v>
      </c>
      <c r="I19" s="541">
        <v>5787.4663144752458</v>
      </c>
      <c r="J19" s="541">
        <v>5721.6914667183264</v>
      </c>
      <c r="K19" s="815">
        <f>'Loan portfolio quality'!K12</f>
        <v>5656.0063548559601</v>
      </c>
      <c r="L19" s="542">
        <v>5572.9545994468099</v>
      </c>
      <c r="N19" s="49"/>
      <c r="O19" s="49"/>
      <c r="P19" s="49"/>
      <c r="R19" s="49"/>
    </row>
    <row r="20" spans="2:18" s="25" customFormat="1" ht="20.25" customHeight="1" x14ac:dyDescent="0.4">
      <c r="B20" s="543" t="s">
        <v>80</v>
      </c>
      <c r="C20" s="534">
        <f t="shared" ref="C20" si="17">+C11+C16+C19</f>
        <v>34382.400042630019</v>
      </c>
      <c r="D20" s="534">
        <f t="shared" ref="D20" si="18">+D11+D16+D19</f>
        <v>34939.261771089958</v>
      </c>
      <c r="E20" s="541">
        <f t="shared" ref="E20:H20" si="19">+E11+E16+E19</f>
        <v>35252.726817749994</v>
      </c>
      <c r="F20" s="534">
        <f t="shared" si="19"/>
        <v>36118.380150450008</v>
      </c>
      <c r="G20" s="534">
        <f t="shared" si="19"/>
        <v>35895.393457530066</v>
      </c>
      <c r="H20" s="541">
        <f t="shared" si="19"/>
        <v>37135.031870139996</v>
      </c>
      <c r="I20" s="541">
        <f>+I11+I16+I19</f>
        <v>37774.40575787003</v>
      </c>
      <c r="J20" s="541">
        <f t="shared" ref="J20" si="20">+J11+J16+J19</f>
        <v>39438.045171790131</v>
      </c>
      <c r="K20" s="815">
        <f t="shared" ref="K20:L20" si="21">+K11+K16+K19</f>
        <v>40434.744540079897</v>
      </c>
      <c r="L20" s="542">
        <f t="shared" si="21"/>
        <v>41449.471654879904</v>
      </c>
      <c r="N20" s="49"/>
      <c r="O20" s="49"/>
      <c r="P20" s="49"/>
      <c r="R20" s="49"/>
    </row>
    <row r="21" spans="2:18" s="25" customFormat="1" ht="20.25" customHeight="1" x14ac:dyDescent="0.4">
      <c r="B21" s="543"/>
      <c r="C21" s="534"/>
      <c r="D21" s="534"/>
      <c r="E21" s="541"/>
      <c r="F21" s="534"/>
      <c r="G21" s="534"/>
      <c r="H21" s="541"/>
      <c r="I21" s="541"/>
      <c r="J21" s="541"/>
      <c r="K21" s="815"/>
      <c r="L21" s="542"/>
      <c r="Q21" s="49"/>
    </row>
    <row r="22" spans="2:18" s="25" customFormat="1" ht="20.25" customHeight="1" x14ac:dyDescent="0.4">
      <c r="B22" s="540" t="s">
        <v>108</v>
      </c>
      <c r="C22" s="535"/>
      <c r="D22" s="535"/>
      <c r="E22" s="545"/>
      <c r="F22" s="535"/>
      <c r="G22" s="535"/>
      <c r="H22" s="545"/>
      <c r="I22" s="545"/>
      <c r="J22" s="545"/>
      <c r="K22" s="910"/>
      <c r="L22" s="546"/>
      <c r="P22" s="49"/>
    </row>
    <row r="23" spans="2:18" s="25" customFormat="1" ht="20.25" customHeight="1" x14ac:dyDescent="0.4">
      <c r="B23" s="544" t="s">
        <v>109</v>
      </c>
      <c r="C23" s="535">
        <v>3326</v>
      </c>
      <c r="D23" s="535">
        <v>3347</v>
      </c>
      <c r="E23" s="545">
        <v>3226</v>
      </c>
      <c r="F23" s="535">
        <v>3297.2258022699971</v>
      </c>
      <c r="G23" s="535">
        <v>2939.058291159999</v>
      </c>
      <c r="H23" s="545">
        <v>3268.3964427200003</v>
      </c>
      <c r="I23" s="545">
        <v>3100</v>
      </c>
      <c r="J23" s="545">
        <v>3397</v>
      </c>
      <c r="K23" s="910">
        <v>3759.4318745299997</v>
      </c>
      <c r="L23" s="546">
        <v>3830.3696281800035</v>
      </c>
      <c r="O23" s="49"/>
      <c r="P23" s="49"/>
      <c r="R23" s="49"/>
    </row>
    <row r="24" spans="2:18" s="25" customFormat="1" ht="20.25" customHeight="1" x14ac:dyDescent="0.4">
      <c r="B24" s="544" t="s">
        <v>110</v>
      </c>
      <c r="C24" s="535">
        <v>2116</v>
      </c>
      <c r="D24" s="535">
        <v>2265</v>
      </c>
      <c r="E24" s="545">
        <v>2246</v>
      </c>
      <c r="F24" s="535">
        <v>2291.2853722699997</v>
      </c>
      <c r="G24" s="535">
        <v>2333.9914161099987</v>
      </c>
      <c r="H24" s="545">
        <v>2353.6150409099992</v>
      </c>
      <c r="I24" s="545">
        <v>2572</v>
      </c>
      <c r="J24" s="545">
        <v>2571</v>
      </c>
      <c r="K24" s="910">
        <v>3014.2902558699993</v>
      </c>
      <c r="L24" s="546">
        <v>3062.8191162099993</v>
      </c>
      <c r="O24" s="49"/>
      <c r="P24" s="49"/>
      <c r="R24" s="49"/>
    </row>
    <row r="25" spans="2:18" s="25" customFormat="1" ht="20.25" customHeight="1" x14ac:dyDescent="0.4">
      <c r="B25" s="544" t="s">
        <v>111</v>
      </c>
      <c r="C25" s="535">
        <v>1992</v>
      </c>
      <c r="D25" s="535">
        <v>2109</v>
      </c>
      <c r="E25" s="545">
        <v>2337</v>
      </c>
      <c r="F25" s="535">
        <v>2567.2187595700007</v>
      </c>
      <c r="G25" s="535">
        <v>2538.7364932999999</v>
      </c>
      <c r="H25" s="545">
        <v>2561.7796666800004</v>
      </c>
      <c r="I25" s="545">
        <v>2960</v>
      </c>
      <c r="J25" s="545">
        <v>3104</v>
      </c>
      <c r="K25" s="910">
        <v>3178.8417325199994</v>
      </c>
      <c r="L25" s="546">
        <v>3367.48462763</v>
      </c>
      <c r="O25" s="49"/>
      <c r="P25" s="49"/>
      <c r="R25" s="49"/>
    </row>
    <row r="26" spans="2:18" s="25" customFormat="1" ht="20.25" customHeight="1" x14ac:dyDescent="0.4">
      <c r="B26" s="544" t="s">
        <v>280</v>
      </c>
      <c r="C26" s="535">
        <v>2210</v>
      </c>
      <c r="D26" s="535">
        <v>2413</v>
      </c>
      <c r="E26" s="545">
        <v>2388</v>
      </c>
      <c r="F26" s="535">
        <v>2429.5137425900007</v>
      </c>
      <c r="G26" s="535">
        <v>2551.0763313800035</v>
      </c>
      <c r="H26" s="545">
        <v>2677.5861599699992</v>
      </c>
      <c r="I26" s="545">
        <v>2643</v>
      </c>
      <c r="J26" s="545">
        <v>2486</v>
      </c>
      <c r="K26" s="910">
        <v>2587.1590275400008</v>
      </c>
      <c r="L26" s="546">
        <v>2754.4840170899997</v>
      </c>
      <c r="O26" s="49"/>
      <c r="P26" s="49"/>
      <c r="R26" s="49"/>
    </row>
    <row r="27" spans="2:18" s="25" customFormat="1" ht="20.25" customHeight="1" x14ac:dyDescent="0.4">
      <c r="B27" s="544" t="s">
        <v>281</v>
      </c>
      <c r="C27" s="535">
        <v>1921</v>
      </c>
      <c r="D27" s="535">
        <v>1954</v>
      </c>
      <c r="E27" s="545">
        <v>1997</v>
      </c>
      <c r="F27" s="535">
        <v>1956.6577410400005</v>
      </c>
      <c r="G27" s="535">
        <v>1956.5871280899996</v>
      </c>
      <c r="H27" s="545">
        <v>2004.6094873899999</v>
      </c>
      <c r="I27" s="545">
        <v>1943</v>
      </c>
      <c r="J27" s="545">
        <v>2732</v>
      </c>
      <c r="K27" s="910">
        <v>2691.7909181500004</v>
      </c>
      <c r="L27" s="546">
        <v>2708.8150248600004</v>
      </c>
      <c r="O27" s="49"/>
      <c r="P27" s="49"/>
      <c r="R27" s="49"/>
    </row>
    <row r="28" spans="2:18" s="25" customFormat="1" ht="20.25" customHeight="1" x14ac:dyDescent="0.4">
      <c r="B28" s="544" t="s">
        <v>282</v>
      </c>
      <c r="C28" s="535">
        <v>3247</v>
      </c>
      <c r="D28" s="535">
        <v>3179</v>
      </c>
      <c r="E28" s="545">
        <v>3324</v>
      </c>
      <c r="F28" s="535">
        <v>3354.642989240001</v>
      </c>
      <c r="G28" s="535">
        <v>3493.3578696599993</v>
      </c>
      <c r="H28" s="545">
        <v>3950.9161177400006</v>
      </c>
      <c r="I28" s="545">
        <v>4147</v>
      </c>
      <c r="J28" s="545">
        <v>4231</v>
      </c>
      <c r="K28" s="910">
        <v>4178.137744390001</v>
      </c>
      <c r="L28" s="546">
        <v>4148.5339755700033</v>
      </c>
      <c r="O28" s="49"/>
      <c r="P28" s="49"/>
      <c r="R28" s="49"/>
    </row>
    <row r="29" spans="2:18" s="25" customFormat="1" ht="20.25" customHeight="1" x14ac:dyDescent="0.4">
      <c r="B29" s="544" t="s">
        <v>41</v>
      </c>
      <c r="C29" s="535">
        <f t="shared" ref="C29:G29" si="22">C12+C13+C14-SUM(C23:C28)</f>
        <v>3571.4346716164073</v>
      </c>
      <c r="D29" s="535">
        <f t="shared" si="22"/>
        <v>3655.2386676669339</v>
      </c>
      <c r="E29" s="545">
        <f t="shared" si="22"/>
        <v>3799.7905521812791</v>
      </c>
      <c r="F29" s="535">
        <f t="shared" si="22"/>
        <v>4184.7504596623985</v>
      </c>
      <c r="G29" s="535">
        <f t="shared" si="22"/>
        <v>4181.9008575143034</v>
      </c>
      <c r="H29" s="545">
        <f t="shared" ref="H29" si="23">H12+H13+H14-SUM(H23:H28)</f>
        <v>4397.9377731395871</v>
      </c>
      <c r="I29" s="545">
        <f t="shared" ref="I29" si="24">I12+I13+I14-SUM(I23:I28)</f>
        <v>4548.7332216747964</v>
      </c>
      <c r="J29" s="545">
        <f>J12+J13+J14-SUM(J23:J28)</f>
        <v>4898.5196375016822</v>
      </c>
      <c r="K29" s="910">
        <f>K12+K13+K14-SUM(K23:K28)</f>
        <v>5252.3575852540089</v>
      </c>
      <c r="L29" s="546">
        <f>L12+L13+L14-SUM(L23:L28)</f>
        <v>5725.0627629331975</v>
      </c>
      <c r="O29" s="49"/>
      <c r="P29" s="49"/>
      <c r="R29" s="49"/>
    </row>
    <row r="30" spans="2:18" s="25" customFormat="1" ht="20.25" customHeight="1" x14ac:dyDescent="0.4">
      <c r="B30" s="543" t="s">
        <v>431</v>
      </c>
      <c r="C30" s="534">
        <f t="shared" ref="C30:G30" si="25">SUM(C23:C29)</f>
        <v>18383.434671616407</v>
      </c>
      <c r="D30" s="534">
        <f t="shared" si="25"/>
        <v>18922.238667666934</v>
      </c>
      <c r="E30" s="541">
        <f t="shared" si="25"/>
        <v>19317.790552181279</v>
      </c>
      <c r="F30" s="534">
        <f t="shared" si="25"/>
        <v>20081.294866642398</v>
      </c>
      <c r="G30" s="534">
        <f t="shared" si="25"/>
        <v>19994.708387214305</v>
      </c>
      <c r="H30" s="541">
        <f t="shared" ref="H30" si="26">SUM(H23:H29)</f>
        <v>21214.84068854959</v>
      </c>
      <c r="I30" s="541">
        <f t="shared" ref="I30" si="27">SUM(I23:I29)</f>
        <v>21913.733221674796</v>
      </c>
      <c r="J30" s="541">
        <f t="shared" ref="J30" si="28">SUM(J23:J29)</f>
        <v>23419.519637501682</v>
      </c>
      <c r="K30" s="815">
        <f t="shared" ref="K30:L30" si="29">SUM(K23:K29)</f>
        <v>24662.009138254009</v>
      </c>
      <c r="L30" s="542">
        <f t="shared" si="29"/>
        <v>25597.569152473203</v>
      </c>
      <c r="N30" s="49"/>
      <c r="O30" s="49"/>
      <c r="P30" s="49"/>
      <c r="R30" s="49"/>
    </row>
    <row r="31" spans="2:18" s="25" customFormat="1" ht="20.25" customHeight="1" x14ac:dyDescent="0.4">
      <c r="B31" s="547"/>
      <c r="C31" s="548"/>
      <c r="D31" s="548"/>
      <c r="E31" s="549"/>
      <c r="F31" s="548"/>
      <c r="G31" s="548"/>
      <c r="H31" s="549"/>
      <c r="I31" s="549"/>
      <c r="J31" s="549"/>
      <c r="K31" s="724"/>
      <c r="L31" s="550"/>
      <c r="O31" s="49"/>
      <c r="P31" s="49"/>
    </row>
    <row r="32" spans="2:18" s="26" customFormat="1" ht="11.25" customHeight="1" x14ac:dyDescent="0.4">
      <c r="B32" s="531"/>
      <c r="C32" s="532"/>
      <c r="D32" s="532"/>
      <c r="E32" s="532"/>
      <c r="F32" s="532"/>
      <c r="G32" s="532"/>
      <c r="H32" s="532"/>
      <c r="I32" s="532"/>
      <c r="J32" s="532"/>
      <c r="K32" s="532"/>
      <c r="L32" s="532"/>
      <c r="O32" s="49"/>
      <c r="P32" s="49"/>
    </row>
    <row r="33" spans="1:13" s="15" customFormat="1" ht="20.25" customHeight="1" x14ac:dyDescent="0.25">
      <c r="B33" s="713" t="s">
        <v>611</v>
      </c>
      <c r="C33" s="536"/>
      <c r="D33" s="536"/>
      <c r="E33" s="533"/>
      <c r="F33" s="533"/>
      <c r="G33" s="533"/>
      <c r="H33" s="533"/>
      <c r="I33" s="533"/>
      <c r="J33" s="533"/>
      <c r="K33" s="533"/>
      <c r="L33" s="533"/>
    </row>
    <row r="34" spans="1:13" s="22" customFormat="1" ht="11.25" customHeight="1" x14ac:dyDescent="0.2">
      <c r="A34" s="20"/>
      <c r="B34" s="42"/>
    </row>
    <row r="35" spans="1:13" s="22" customFormat="1" ht="21" customHeight="1" x14ac:dyDescent="0.2">
      <c r="A35" s="20"/>
      <c r="B35" s="42"/>
    </row>
    <row r="37" spans="1:13" ht="15" customHeight="1" x14ac:dyDescent="0.2">
      <c r="C37" s="45"/>
      <c r="D37" s="45"/>
      <c r="E37" s="45"/>
      <c r="F37" s="45"/>
      <c r="G37" s="45"/>
      <c r="H37" s="45"/>
      <c r="I37" s="45"/>
      <c r="J37" s="45"/>
      <c r="K37" s="45"/>
      <c r="L37" s="45"/>
      <c r="M37" s="45"/>
    </row>
    <row r="38" spans="1:13" ht="15" customHeight="1" x14ac:dyDescent="0.2">
      <c r="M38" s="22"/>
    </row>
  </sheetData>
  <mergeCells count="1">
    <mergeCell ref="B5:L5"/>
  </mergeCells>
  <hyperlinks>
    <hyperlink ref="L2" location="'Cover '!A1" display="Back to Cover" xr:uid="{74B85B39-0808-422C-BD95-110F6A0F32CD}"/>
  </hyperlinks>
  <printOptions horizontalCentered="1" verticalCentered="1"/>
  <pageMargins left="0" right="0" top="0" bottom="0" header="0" footer="0"/>
  <pageSetup paperSize="8" orientation="landscape" r:id="rId1"/>
  <headerFooter alignWithMargins="0"/>
  <ignoredErrors>
    <ignoredError sqref="I29" formula="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5">
    <pageSetUpPr fitToPage="1"/>
  </sheetPr>
  <dimension ref="A1:R80"/>
  <sheetViews>
    <sheetView showGridLines="0" view="pageBreakPreview" zoomScale="80" zoomScaleNormal="90" zoomScaleSheetLayoutView="80" workbookViewId="0">
      <pane xSplit="2" topLeftCell="C1" activePane="topRight" state="frozen"/>
      <selection activeCell="M28" sqref="M28"/>
      <selection pane="topRight" activeCell="B5" sqref="B5:L5"/>
    </sheetView>
  </sheetViews>
  <sheetFormatPr defaultColWidth="9.109375" defaultRowHeight="15" customHeight="1" x14ac:dyDescent="0.2"/>
  <cols>
    <col min="1" max="1" width="2.44140625" style="20" customWidth="1"/>
    <col min="2" max="2" width="61.44140625" style="20" customWidth="1"/>
    <col min="3" max="12" width="14.5546875" style="22" customWidth="1"/>
    <col min="13" max="13" width="2.5546875" style="20" customWidth="1"/>
    <col min="14" max="16384" width="9.109375" style="20"/>
  </cols>
  <sheetData>
    <row r="1" spans="1:17" s="23" customFormat="1" ht="15.75" customHeight="1" x14ac:dyDescent="0.4">
      <c r="B1" s="527"/>
      <c r="C1" s="527"/>
      <c r="D1" s="527"/>
      <c r="E1" s="527"/>
      <c r="F1" s="527"/>
      <c r="G1" s="527"/>
      <c r="H1" s="527"/>
      <c r="I1" s="527"/>
      <c r="J1" s="527"/>
      <c r="K1" s="527"/>
      <c r="L1" s="527"/>
    </row>
    <row r="2" spans="1:17" s="23" customFormat="1" ht="15.75" customHeight="1" x14ac:dyDescent="0.4">
      <c r="B2" s="527"/>
      <c r="C2" s="552"/>
      <c r="D2" s="552"/>
      <c r="E2" s="552"/>
      <c r="F2" s="552"/>
      <c r="G2" s="552"/>
      <c r="H2" s="552"/>
      <c r="I2" s="552"/>
      <c r="J2" s="552"/>
      <c r="K2" s="552"/>
      <c r="L2" s="528" t="s">
        <v>20</v>
      </c>
    </row>
    <row r="3" spans="1:17" s="23" customFormat="1" ht="15.75" customHeight="1" x14ac:dyDescent="0.4">
      <c r="B3" s="527"/>
      <c r="C3" s="527"/>
      <c r="D3" s="527"/>
      <c r="E3" s="527"/>
      <c r="F3" s="527"/>
      <c r="G3" s="527"/>
      <c r="H3" s="527"/>
      <c r="I3" s="527"/>
      <c r="J3" s="527"/>
      <c r="K3" s="527"/>
      <c r="L3" s="527"/>
    </row>
    <row r="4" spans="1:17" s="24" customFormat="1" ht="18" customHeight="1" x14ac:dyDescent="0.35">
      <c r="B4" s="529"/>
      <c r="C4" s="529"/>
      <c r="D4" s="529"/>
      <c r="E4" s="529"/>
      <c r="F4" s="529"/>
      <c r="G4" s="529"/>
      <c r="H4" s="529"/>
      <c r="I4" s="529"/>
      <c r="J4" s="529"/>
      <c r="K4" s="529"/>
      <c r="L4" s="529"/>
    </row>
    <row r="5" spans="1:17" ht="27.6" x14ac:dyDescent="0.2">
      <c r="A5" s="16"/>
      <c r="B5" s="937" t="s">
        <v>28</v>
      </c>
      <c r="C5" s="937"/>
      <c r="D5" s="937"/>
      <c r="E5" s="937"/>
      <c r="F5" s="937"/>
      <c r="G5" s="937"/>
      <c r="H5" s="937"/>
      <c r="I5" s="937"/>
      <c r="J5" s="937"/>
      <c r="K5" s="937"/>
      <c r="L5" s="937"/>
    </row>
    <row r="6" spans="1:17" ht="9" customHeight="1" x14ac:dyDescent="0.2">
      <c r="A6" s="16"/>
      <c r="B6" s="124"/>
      <c r="C6" s="124"/>
      <c r="D6" s="124"/>
      <c r="E6" s="124"/>
      <c r="F6" s="124"/>
      <c r="G6" s="124"/>
      <c r="H6" s="124"/>
      <c r="I6" s="124"/>
      <c r="J6" s="124"/>
      <c r="K6" s="124"/>
      <c r="L6" s="124"/>
    </row>
    <row r="7" spans="1:17" ht="11.25" customHeight="1" x14ac:dyDescent="0.2">
      <c r="A7" s="18"/>
      <c r="B7" s="484"/>
      <c r="C7" s="484"/>
      <c r="D7" s="484"/>
      <c r="E7" s="484"/>
      <c r="F7" s="484"/>
      <c r="G7" s="484"/>
      <c r="H7" s="484"/>
      <c r="I7" s="484"/>
      <c r="J7" s="484"/>
      <c r="K7" s="484"/>
      <c r="L7" s="446"/>
    </row>
    <row r="8" spans="1:17" s="23" customFormat="1" ht="11.25" customHeight="1" x14ac:dyDescent="0.4">
      <c r="B8" s="527"/>
      <c r="C8" s="530"/>
      <c r="D8" s="530"/>
      <c r="E8" s="530"/>
      <c r="F8" s="530"/>
      <c r="G8" s="530"/>
      <c r="H8" s="530"/>
      <c r="I8" s="530"/>
      <c r="J8" s="530"/>
      <c r="K8" s="530"/>
      <c r="L8" s="559"/>
    </row>
    <row r="9" spans="1:17" s="23" customFormat="1" ht="28.5" customHeight="1" x14ac:dyDescent="0.3">
      <c r="B9" s="537" t="s">
        <v>24</v>
      </c>
      <c r="C9" s="538">
        <v>45016</v>
      </c>
      <c r="D9" s="538">
        <v>45107</v>
      </c>
      <c r="E9" s="538">
        <v>45199</v>
      </c>
      <c r="F9" s="538">
        <v>45291</v>
      </c>
      <c r="G9" s="538">
        <v>45382</v>
      </c>
      <c r="H9" s="538">
        <v>45473</v>
      </c>
      <c r="I9" s="538">
        <v>45565</v>
      </c>
      <c r="J9" s="538">
        <v>45657</v>
      </c>
      <c r="K9" s="551">
        <v>45747</v>
      </c>
      <c r="L9" s="539">
        <v>45838</v>
      </c>
    </row>
    <row r="10" spans="1:17" s="25" customFormat="1" ht="20.25" customHeight="1" x14ac:dyDescent="0.4">
      <c r="B10" s="540" t="s">
        <v>283</v>
      </c>
      <c r="C10" s="534"/>
      <c r="D10" s="534"/>
      <c r="E10" s="541"/>
      <c r="F10" s="534"/>
      <c r="G10" s="534"/>
      <c r="H10" s="541"/>
      <c r="I10" s="541"/>
      <c r="J10" s="541"/>
      <c r="K10" s="815"/>
      <c r="L10" s="542"/>
    </row>
    <row r="11" spans="1:17" s="25" customFormat="1" ht="20.25" customHeight="1" x14ac:dyDescent="0.4">
      <c r="B11" s="543" t="s">
        <v>284</v>
      </c>
      <c r="C11" s="534">
        <v>28191.743425110013</v>
      </c>
      <c r="D11" s="534">
        <v>28717.459791850004</v>
      </c>
      <c r="E11" s="541">
        <v>29041.369762400009</v>
      </c>
      <c r="F11" s="534">
        <v>29332.752149729986</v>
      </c>
      <c r="G11" s="534">
        <v>29104.34764885002</v>
      </c>
      <c r="H11" s="541">
        <v>30260.114412570001</v>
      </c>
      <c r="I11" s="541">
        <v>30860.566190650046</v>
      </c>
      <c r="J11" s="541">
        <v>32406.701741850011</v>
      </c>
      <c r="K11" s="815">
        <v>33503.642211149971</v>
      </c>
      <c r="L11" s="542">
        <v>34426.33107261001</v>
      </c>
    </row>
    <row r="12" spans="1:17" s="25" customFormat="1" ht="20.25" customHeight="1" x14ac:dyDescent="0.4">
      <c r="B12" s="544" t="s">
        <v>172</v>
      </c>
      <c r="C12" s="535">
        <v>6034.0444514236096</v>
      </c>
      <c r="D12" s="535">
        <v>5951.678018693071</v>
      </c>
      <c r="E12" s="545">
        <v>5900.8357836587293</v>
      </c>
      <c r="F12" s="535">
        <v>5984.423639567588</v>
      </c>
      <c r="G12" s="535">
        <v>5902.6959318857143</v>
      </c>
      <c r="H12" s="545">
        <v>5848.6639154404074</v>
      </c>
      <c r="I12" s="545">
        <v>5787.4663144752458</v>
      </c>
      <c r="J12" s="545">
        <v>5721.6914667183264</v>
      </c>
      <c r="K12" s="910">
        <v>5656.0063548559601</v>
      </c>
      <c r="L12" s="546">
        <v>5572.9545994468053</v>
      </c>
      <c r="P12" s="64"/>
    </row>
    <row r="13" spans="1:17" s="25" customFormat="1" ht="20.25" customHeight="1" x14ac:dyDescent="0.4">
      <c r="B13" s="543" t="s">
        <v>612</v>
      </c>
      <c r="C13" s="534">
        <v>0</v>
      </c>
      <c r="D13" s="534">
        <v>0</v>
      </c>
      <c r="E13" s="541">
        <v>0</v>
      </c>
      <c r="F13" s="534">
        <v>950.67031599999996</v>
      </c>
      <c r="G13" s="534">
        <v>0</v>
      </c>
      <c r="H13" s="541">
        <v>0</v>
      </c>
      <c r="I13" s="541">
        <v>0</v>
      </c>
      <c r="J13" s="541">
        <v>919.36909000000003</v>
      </c>
      <c r="K13" s="815">
        <v>574</v>
      </c>
      <c r="L13" s="542">
        <v>0</v>
      </c>
      <c r="P13" s="49"/>
    </row>
    <row r="14" spans="1:17" s="25" customFormat="1" ht="20.25" customHeight="1" x14ac:dyDescent="0.4">
      <c r="B14" s="560" t="s">
        <v>36</v>
      </c>
      <c r="C14" s="535">
        <v>6756.681081040022</v>
      </c>
      <c r="D14" s="535">
        <v>6518.5449787499683</v>
      </c>
      <c r="E14" s="545">
        <v>6475.5954375099827</v>
      </c>
      <c r="F14" s="535">
        <v>6453.9157924400106</v>
      </c>
      <c r="G14" s="535">
        <v>6425.0518737000284</v>
      </c>
      <c r="H14" s="545">
        <v>6420.1000731399954</v>
      </c>
      <c r="I14" s="545">
        <v>6420.897926210002</v>
      </c>
      <c r="J14" s="545">
        <v>6304.6838923501364</v>
      </c>
      <c r="K14" s="910">
        <v>6251.5761439099315</v>
      </c>
      <c r="L14" s="546">
        <v>6274.607995789911</v>
      </c>
    </row>
    <row r="15" spans="1:17" s="25" customFormat="1" ht="20.25" customHeight="1" x14ac:dyDescent="0.4">
      <c r="B15" s="560" t="s">
        <v>37</v>
      </c>
      <c r="C15" s="535">
        <v>1875.528453499981</v>
      </c>
      <c r="D15" s="535">
        <v>1751.8366322199865</v>
      </c>
      <c r="E15" s="545">
        <v>1781.2178743300046</v>
      </c>
      <c r="F15" s="535">
        <v>1661.0325662700056</v>
      </c>
      <c r="G15" s="535">
        <v>1668.6362921200216</v>
      </c>
      <c r="H15" s="545">
        <v>1718.3245322399969</v>
      </c>
      <c r="I15" s="545">
        <v>1754.7797457799829</v>
      </c>
      <c r="J15" s="545">
        <v>1794.6513429899824</v>
      </c>
      <c r="K15" s="910">
        <v>1776.6730569699971</v>
      </c>
      <c r="L15" s="546">
        <v>1840.7506635299808</v>
      </c>
    </row>
    <row r="16" spans="1:17" s="25" customFormat="1" ht="20.25" customHeight="1" x14ac:dyDescent="0.4">
      <c r="B16" s="561" t="s">
        <v>285</v>
      </c>
      <c r="C16" s="534">
        <f t="shared" ref="C16:E16" si="0">C14+C15</f>
        <v>8632.209534540003</v>
      </c>
      <c r="D16" s="534">
        <f t="shared" si="0"/>
        <v>8270.3816109699546</v>
      </c>
      <c r="E16" s="541">
        <f t="shared" si="0"/>
        <v>8256.8133118399874</v>
      </c>
      <c r="F16" s="534">
        <f t="shared" ref="F16" si="1">F14+F15</f>
        <v>8114.9483587100167</v>
      </c>
      <c r="G16" s="534">
        <f t="shared" ref="G16" si="2">G14+G15</f>
        <v>8093.68816582005</v>
      </c>
      <c r="H16" s="541">
        <f t="shared" ref="H16" si="3">H14+H15</f>
        <v>8138.4246053799925</v>
      </c>
      <c r="I16" s="541">
        <f t="shared" ref="I16" si="4">I14+I15</f>
        <v>8175.6776719899844</v>
      </c>
      <c r="J16" s="541">
        <f t="shared" ref="J16" si="5">J14+J15</f>
        <v>8099.3352353401187</v>
      </c>
      <c r="K16" s="815">
        <f t="shared" ref="K16:L16" si="6">K14+K15</f>
        <v>8028.249200879929</v>
      </c>
      <c r="L16" s="542">
        <f t="shared" si="6"/>
        <v>8115.3586593198916</v>
      </c>
      <c r="Q16" s="49"/>
    </row>
    <row r="17" spans="2:18" s="25" customFormat="1" ht="20.25" customHeight="1" x14ac:dyDescent="0.4">
      <c r="B17" s="561" t="s">
        <v>286</v>
      </c>
      <c r="C17" s="534">
        <f>C11+C13+C16</f>
        <v>36823.952959650014</v>
      </c>
      <c r="D17" s="534">
        <f t="shared" ref="D17:E17" si="7">D11+D13+D16</f>
        <v>36987.841402819962</v>
      </c>
      <c r="E17" s="541">
        <f t="shared" si="7"/>
        <v>37298.183074239998</v>
      </c>
      <c r="F17" s="534">
        <f>F11+F13+F16</f>
        <v>38398.370824440004</v>
      </c>
      <c r="G17" s="534">
        <f t="shared" ref="G17" si="8">G11+G13+G16</f>
        <v>37198.035814670067</v>
      </c>
      <c r="H17" s="541">
        <f t="shared" ref="H17" si="9">H11+H13+H16</f>
        <v>38398.539017949995</v>
      </c>
      <c r="I17" s="541">
        <f t="shared" ref="I17" si="10">I11+I13+I16</f>
        <v>39036.243862640033</v>
      </c>
      <c r="J17" s="541">
        <f t="shared" ref="J17" si="11">J11+J13+J16</f>
        <v>41425.406067190132</v>
      </c>
      <c r="K17" s="815">
        <f t="shared" ref="K17:L17" si="12">K11+K13+K16</f>
        <v>42105.891412029901</v>
      </c>
      <c r="L17" s="542">
        <f t="shared" si="12"/>
        <v>42541.689731929902</v>
      </c>
      <c r="Q17" s="49"/>
    </row>
    <row r="18" spans="2:18" s="25" customFormat="1" ht="20.25" customHeight="1" x14ac:dyDescent="0.4">
      <c r="B18" s="543"/>
      <c r="C18" s="534"/>
      <c r="D18" s="534"/>
      <c r="E18" s="541"/>
      <c r="F18" s="534"/>
      <c r="G18" s="534"/>
      <c r="H18" s="541"/>
      <c r="I18" s="541"/>
      <c r="J18" s="541"/>
      <c r="K18" s="815"/>
      <c r="L18" s="542"/>
      <c r="P18" s="49"/>
      <c r="Q18" s="49"/>
      <c r="R18" s="49"/>
    </row>
    <row r="19" spans="2:18" s="25" customFormat="1" ht="20.25" customHeight="1" x14ac:dyDescent="0.4">
      <c r="B19" s="540" t="s">
        <v>287</v>
      </c>
      <c r="C19" s="534"/>
      <c r="D19" s="534"/>
      <c r="E19" s="541"/>
      <c r="F19" s="534"/>
      <c r="G19" s="534"/>
      <c r="H19" s="541"/>
      <c r="I19" s="541"/>
      <c r="J19" s="541"/>
      <c r="K19" s="815"/>
      <c r="L19" s="542"/>
      <c r="R19" s="49"/>
    </row>
    <row r="20" spans="2:18" s="25" customFormat="1" ht="20.25" customHeight="1" x14ac:dyDescent="0.4">
      <c r="B20" s="543" t="s">
        <v>284</v>
      </c>
      <c r="C20" s="534">
        <v>1180.5564713599993</v>
      </c>
      <c r="D20" s="534">
        <v>985.02013212999987</v>
      </c>
      <c r="E20" s="541">
        <v>1045.8946054600001</v>
      </c>
      <c r="F20" s="534">
        <v>607.30707888999996</v>
      </c>
      <c r="G20" s="534">
        <v>665.6129204099999</v>
      </c>
      <c r="H20" s="541">
        <v>670.83578849999969</v>
      </c>
      <c r="I20" s="541">
        <v>661.12408364000009</v>
      </c>
      <c r="J20" s="541">
        <v>526.84204563000014</v>
      </c>
      <c r="K20" s="815">
        <v>534.04137408999986</v>
      </c>
      <c r="L20" s="542">
        <v>539.45659596999974</v>
      </c>
      <c r="O20" s="49"/>
    </row>
    <row r="21" spans="2:18" s="25" customFormat="1" ht="20.25" customHeight="1" x14ac:dyDescent="0.4">
      <c r="B21" s="544" t="s">
        <v>30</v>
      </c>
      <c r="C21" s="535">
        <v>263.39582256999995</v>
      </c>
      <c r="D21" s="535">
        <v>130.56384055999999</v>
      </c>
      <c r="E21" s="545">
        <v>155.11272435000001</v>
      </c>
      <c r="F21" s="535">
        <v>139.46051986999998</v>
      </c>
      <c r="G21" s="535">
        <v>158.02156826000004</v>
      </c>
      <c r="H21" s="545">
        <v>186.75315023999994</v>
      </c>
      <c r="I21" s="545">
        <v>197.04557856</v>
      </c>
      <c r="J21" s="545">
        <v>137.09263193300001</v>
      </c>
      <c r="K21" s="910">
        <v>161.63114463999997</v>
      </c>
      <c r="L21" s="546">
        <v>166.12066728999991</v>
      </c>
      <c r="O21" s="49"/>
    </row>
    <row r="22" spans="2:18" s="25" customFormat="1" ht="20.25" customHeight="1" x14ac:dyDescent="0.4">
      <c r="B22" s="544" t="s">
        <v>31</v>
      </c>
      <c r="C22" s="535">
        <v>224.59155294000024</v>
      </c>
      <c r="D22" s="535">
        <v>93.775955620000033</v>
      </c>
      <c r="E22" s="545">
        <v>105.93434641000003</v>
      </c>
      <c r="F22" s="535">
        <v>43.057630899999999</v>
      </c>
      <c r="G22" s="535">
        <v>51.717519379999992</v>
      </c>
      <c r="H22" s="545">
        <v>63.854707859999991</v>
      </c>
      <c r="I22" s="545">
        <v>72.957795569999988</v>
      </c>
      <c r="J22" s="545">
        <v>53.499823410000012</v>
      </c>
      <c r="K22" s="910">
        <v>66.503563290000002</v>
      </c>
      <c r="L22" s="546">
        <v>74.15329887</v>
      </c>
      <c r="O22" s="49"/>
    </row>
    <row r="23" spans="2:18" s="25" customFormat="1" ht="20.25" customHeight="1" x14ac:dyDescent="0.4">
      <c r="B23" s="543" t="s">
        <v>288</v>
      </c>
      <c r="C23" s="534">
        <f t="shared" ref="C23" si="13">C21+C22</f>
        <v>487.98737551000022</v>
      </c>
      <c r="D23" s="534">
        <f t="shared" ref="D23" si="14">D21+D22</f>
        <v>224.33979618000001</v>
      </c>
      <c r="E23" s="541">
        <f t="shared" ref="E23" si="15">E21+E22</f>
        <v>261.04707076000005</v>
      </c>
      <c r="F23" s="534">
        <f t="shared" ref="F23" si="16">F21+F22</f>
        <v>182.51815076999998</v>
      </c>
      <c r="G23" s="534">
        <f t="shared" ref="G23" si="17">G21+G22</f>
        <v>209.73908764000004</v>
      </c>
      <c r="H23" s="541">
        <f t="shared" ref="H23" si="18">H21+H22</f>
        <v>250.60785809999993</v>
      </c>
      <c r="I23" s="541">
        <f t="shared" ref="I23" si="19">I21+I22</f>
        <v>270.00337413</v>
      </c>
      <c r="J23" s="541">
        <f t="shared" ref="J23" si="20">J21+J22</f>
        <v>190.59245534300001</v>
      </c>
      <c r="K23" s="815">
        <f t="shared" ref="K23:L23" si="21">K21+K22</f>
        <v>228.13470792999999</v>
      </c>
      <c r="L23" s="542">
        <f t="shared" si="21"/>
        <v>240.27396615999993</v>
      </c>
      <c r="O23" s="49"/>
    </row>
    <row r="24" spans="2:18" s="25" customFormat="1" ht="20.25" customHeight="1" x14ac:dyDescent="0.4">
      <c r="B24" s="543" t="s">
        <v>289</v>
      </c>
      <c r="C24" s="534">
        <f t="shared" ref="C24" si="22">C20+C23</f>
        <v>1668.5438468699995</v>
      </c>
      <c r="D24" s="534">
        <f t="shared" ref="D24" si="23">D20+D23</f>
        <v>1209.3599283099998</v>
      </c>
      <c r="E24" s="541">
        <f t="shared" ref="E24" si="24">E20+E23</f>
        <v>1306.9416762200001</v>
      </c>
      <c r="F24" s="534">
        <f t="shared" ref="F24" si="25">F20+F23</f>
        <v>789.82522965999988</v>
      </c>
      <c r="G24" s="534">
        <f t="shared" ref="G24" si="26">G20+G23</f>
        <v>875.35200804999999</v>
      </c>
      <c r="H24" s="541">
        <f t="shared" ref="H24" si="27">H20+H23</f>
        <v>921.44364659999962</v>
      </c>
      <c r="I24" s="541">
        <f t="shared" ref="I24" si="28">I20+I23</f>
        <v>931.12745777000009</v>
      </c>
      <c r="J24" s="541">
        <f t="shared" ref="J24" si="29">J20+J23</f>
        <v>717.43450097300013</v>
      </c>
      <c r="K24" s="815">
        <f t="shared" ref="K24:L24" si="30">K20+K23</f>
        <v>762.17608201999985</v>
      </c>
      <c r="L24" s="542">
        <f t="shared" si="30"/>
        <v>779.73056212999973</v>
      </c>
      <c r="O24" s="49"/>
    </row>
    <row r="25" spans="2:18" s="25" customFormat="1" ht="20.25" customHeight="1" x14ac:dyDescent="0.4">
      <c r="B25" s="543"/>
      <c r="C25" s="534"/>
      <c r="D25" s="534"/>
      <c r="E25" s="541"/>
      <c r="F25" s="534"/>
      <c r="G25" s="534"/>
      <c r="H25" s="541"/>
      <c r="I25" s="541"/>
      <c r="J25" s="541"/>
      <c r="K25" s="815"/>
      <c r="L25" s="542"/>
    </row>
    <row r="26" spans="2:18" s="25" customFormat="1" ht="20.25" customHeight="1" x14ac:dyDescent="0.4">
      <c r="B26" s="540" t="s">
        <v>48</v>
      </c>
      <c r="C26" s="534"/>
      <c r="D26" s="534"/>
      <c r="E26" s="541"/>
      <c r="F26" s="534"/>
      <c r="G26" s="534"/>
      <c r="H26" s="541"/>
      <c r="I26" s="541"/>
      <c r="J26" s="541"/>
      <c r="K26" s="815"/>
      <c r="L26" s="542"/>
    </row>
    <row r="27" spans="2:18" s="25" customFormat="1" ht="20.25" customHeight="1" x14ac:dyDescent="0.4">
      <c r="B27" s="543" t="s">
        <v>284</v>
      </c>
      <c r="C27" s="534">
        <v>1773.9850980499994</v>
      </c>
      <c r="D27" s="534">
        <v>1660.4057894400009</v>
      </c>
      <c r="E27" s="541">
        <v>1625.04652257</v>
      </c>
      <c r="F27" s="534">
        <v>1011.2919069500001</v>
      </c>
      <c r="G27" s="534">
        <v>965.49531574999946</v>
      </c>
      <c r="H27" s="541">
        <v>892.738528580001</v>
      </c>
      <c r="I27" s="541">
        <v>867.49356755999884</v>
      </c>
      <c r="J27" s="541">
        <v>790.63566582000078</v>
      </c>
      <c r="K27" s="815">
        <v>782.73353346999954</v>
      </c>
      <c r="L27" s="542">
        <v>759.26705386000026</v>
      </c>
      <c r="O27" s="925"/>
      <c r="P27" s="925"/>
    </row>
    <row r="28" spans="2:18" s="25" customFormat="1" ht="20.25" customHeight="1" x14ac:dyDescent="0.4">
      <c r="B28" s="544" t="s">
        <v>30</v>
      </c>
      <c r="C28" s="535">
        <v>397.41569729999986</v>
      </c>
      <c r="D28" s="535">
        <v>256.99712136000011</v>
      </c>
      <c r="E28" s="545">
        <v>279.02546720999993</v>
      </c>
      <c r="F28" s="535">
        <v>250.96990948000004</v>
      </c>
      <c r="G28" s="535">
        <v>263.86466247000004</v>
      </c>
      <c r="H28" s="545">
        <v>287.45836180000003</v>
      </c>
      <c r="I28" s="545">
        <v>300.87292066000009</v>
      </c>
      <c r="J28" s="545">
        <v>207.24026387999976</v>
      </c>
      <c r="K28" s="910">
        <v>231.47665922999977</v>
      </c>
      <c r="L28" s="546">
        <v>242.87368235999992</v>
      </c>
      <c r="O28" s="925"/>
      <c r="P28" s="925"/>
    </row>
    <row r="29" spans="2:18" s="25" customFormat="1" ht="20.25" customHeight="1" x14ac:dyDescent="0.4">
      <c r="B29" s="544" t="s">
        <v>31</v>
      </c>
      <c r="C29" s="535">
        <v>270.15212166999987</v>
      </c>
      <c r="D29" s="535">
        <v>131.17672092999976</v>
      </c>
      <c r="E29" s="545">
        <v>141.38426670999996</v>
      </c>
      <c r="F29" s="535">
        <v>67.058541560000108</v>
      </c>
      <c r="G29" s="535">
        <v>73.282378920000014</v>
      </c>
      <c r="H29" s="545">
        <v>83.310257430000007</v>
      </c>
      <c r="I29" s="545">
        <v>93.471616549999965</v>
      </c>
      <c r="J29" s="545">
        <v>70.115875700000004</v>
      </c>
      <c r="K29" s="910">
        <v>82.936679249999969</v>
      </c>
      <c r="L29" s="546">
        <v>90.077340829999955</v>
      </c>
      <c r="O29" s="925"/>
      <c r="P29" s="925"/>
    </row>
    <row r="30" spans="2:18" s="25" customFormat="1" ht="20.25" customHeight="1" x14ac:dyDescent="0.4">
      <c r="B30" s="543" t="s">
        <v>288</v>
      </c>
      <c r="C30" s="534">
        <f t="shared" ref="C30" si="31">C28+C29</f>
        <v>667.56781896999973</v>
      </c>
      <c r="D30" s="534">
        <f t="shared" ref="D30" si="32">D28+D29</f>
        <v>388.17384228999987</v>
      </c>
      <c r="E30" s="541">
        <f t="shared" ref="E30" si="33">E28+E29</f>
        <v>420.40973391999989</v>
      </c>
      <c r="F30" s="534">
        <f t="shared" ref="F30" si="34">F28+F29</f>
        <v>318.02845104000016</v>
      </c>
      <c r="G30" s="534">
        <f t="shared" ref="G30" si="35">G28+G29</f>
        <v>337.14704139000003</v>
      </c>
      <c r="H30" s="541">
        <f t="shared" ref="H30" si="36">H28+H29</f>
        <v>370.76861923000001</v>
      </c>
      <c r="I30" s="541">
        <f t="shared" ref="I30" si="37">I28+I29</f>
        <v>394.34453721000006</v>
      </c>
      <c r="J30" s="541">
        <f t="shared" ref="J30" si="38">J28+J29</f>
        <v>277.35613957999976</v>
      </c>
      <c r="K30" s="815">
        <f t="shared" ref="K30:L30" si="39">K28+K29</f>
        <v>314.41333847999977</v>
      </c>
      <c r="L30" s="542">
        <f t="shared" si="39"/>
        <v>332.95102318999989</v>
      </c>
      <c r="O30" s="925"/>
      <c r="P30" s="925"/>
    </row>
    <row r="31" spans="2:18" s="25" customFormat="1" ht="20.25" customHeight="1" x14ac:dyDescent="0.4">
      <c r="B31" s="543" t="s">
        <v>289</v>
      </c>
      <c r="C31" s="534">
        <f t="shared" ref="C31" si="40">C27+C30</f>
        <v>2441.5529170199989</v>
      </c>
      <c r="D31" s="534">
        <f t="shared" ref="D31" si="41">D27+D30</f>
        <v>2048.579631730001</v>
      </c>
      <c r="E31" s="541">
        <f t="shared" ref="E31" si="42">E27+E30</f>
        <v>2045.4562564899998</v>
      </c>
      <c r="F31" s="534">
        <f t="shared" ref="F31:J31" si="43">F27+F30</f>
        <v>1329.3203579900003</v>
      </c>
      <c r="G31" s="534">
        <f t="shared" si="43"/>
        <v>1302.6423571399996</v>
      </c>
      <c r="H31" s="541">
        <f t="shared" si="43"/>
        <v>1263.507147810001</v>
      </c>
      <c r="I31" s="541">
        <f t="shared" si="43"/>
        <v>1261.8381047699988</v>
      </c>
      <c r="J31" s="541">
        <f t="shared" si="43"/>
        <v>1067.9918054000004</v>
      </c>
      <c r="K31" s="815">
        <f t="shared" ref="K31:L31" si="44">K27+K30</f>
        <v>1097.1468719499994</v>
      </c>
      <c r="L31" s="542">
        <f t="shared" si="44"/>
        <v>1092.2180770500001</v>
      </c>
      <c r="O31" s="925"/>
      <c r="P31" s="925"/>
    </row>
    <row r="32" spans="2:18" s="25" customFormat="1" ht="20.25" customHeight="1" x14ac:dyDescent="0.4">
      <c r="B32" s="543"/>
      <c r="C32" s="534"/>
      <c r="D32" s="534"/>
      <c r="E32" s="541"/>
      <c r="F32" s="534"/>
      <c r="G32" s="534"/>
      <c r="H32" s="541"/>
      <c r="I32" s="541"/>
      <c r="J32" s="541"/>
      <c r="K32" s="815"/>
      <c r="L32" s="542"/>
    </row>
    <row r="33" spans="2:12" s="25" customFormat="1" ht="20.25" hidden="1" customHeight="1" x14ac:dyDescent="0.4">
      <c r="B33" s="543"/>
      <c r="C33" s="534"/>
      <c r="D33" s="534"/>
      <c r="E33" s="541"/>
      <c r="F33" s="534"/>
      <c r="G33" s="534"/>
      <c r="H33" s="541"/>
      <c r="I33" s="541"/>
      <c r="J33" s="541"/>
      <c r="K33" s="815"/>
      <c r="L33" s="542"/>
    </row>
    <row r="34" spans="2:12" s="25" customFormat="1" ht="20.25" hidden="1" customHeight="1" x14ac:dyDescent="0.4">
      <c r="B34" s="543"/>
      <c r="C34" s="534"/>
      <c r="D34" s="534"/>
      <c r="E34" s="541"/>
      <c r="F34" s="534"/>
      <c r="G34" s="534"/>
      <c r="H34" s="541"/>
      <c r="I34" s="541"/>
      <c r="J34" s="541"/>
      <c r="K34" s="815"/>
      <c r="L34" s="542"/>
    </row>
    <row r="35" spans="2:12" s="25" customFormat="1" ht="20.25" customHeight="1" x14ac:dyDescent="0.4">
      <c r="B35" s="540" t="s">
        <v>32</v>
      </c>
      <c r="C35" s="534"/>
      <c r="D35" s="534"/>
      <c r="E35" s="541"/>
      <c r="F35" s="534"/>
      <c r="G35" s="534"/>
      <c r="H35" s="541"/>
      <c r="I35" s="541"/>
      <c r="J35" s="541"/>
      <c r="K35" s="815"/>
      <c r="L35" s="542"/>
    </row>
    <row r="36" spans="2:12" s="25" customFormat="1" ht="21" customHeight="1" x14ac:dyDescent="0.4">
      <c r="B36" s="543" t="s">
        <v>284</v>
      </c>
      <c r="C36" s="534">
        <v>1059.972212671262</v>
      </c>
      <c r="D36" s="534">
        <v>1000.017739251538</v>
      </c>
      <c r="E36" s="541">
        <v>998.11833876000003</v>
      </c>
      <c r="F36" s="534">
        <v>697.42609226714399</v>
      </c>
      <c r="G36" s="534">
        <v>656.85700860117151</v>
      </c>
      <c r="H36" s="541">
        <v>609.20935852408843</v>
      </c>
      <c r="I36" s="541">
        <v>622.1248495711111</v>
      </c>
      <c r="J36" s="541">
        <v>565.44983304000004</v>
      </c>
      <c r="K36" s="815">
        <v>557.13940649055905</v>
      </c>
      <c r="L36" s="542">
        <v>543.02104174999988</v>
      </c>
    </row>
    <row r="37" spans="2:12" s="25" customFormat="1" ht="21" customHeight="1" x14ac:dyDescent="0.4">
      <c r="B37" s="544" t="s">
        <v>30</v>
      </c>
      <c r="C37" s="535">
        <v>89.259121989929753</v>
      </c>
      <c r="D37" s="535">
        <v>47.792738938082771</v>
      </c>
      <c r="E37" s="545">
        <v>50.083827849999992</v>
      </c>
      <c r="F37" s="535">
        <v>42.180639089449983</v>
      </c>
      <c r="G37" s="535">
        <v>43.512418448261407</v>
      </c>
      <c r="H37" s="545">
        <v>45.713071716575037</v>
      </c>
      <c r="I37" s="545">
        <v>55.936792924692575</v>
      </c>
      <c r="J37" s="545">
        <v>42.512353659999995</v>
      </c>
      <c r="K37" s="910">
        <v>54.841405027930257</v>
      </c>
      <c r="L37" s="546">
        <v>98.731506040000014</v>
      </c>
    </row>
    <row r="38" spans="2:12" s="25" customFormat="1" ht="21" customHeight="1" x14ac:dyDescent="0.4">
      <c r="B38" s="544" t="s">
        <v>31</v>
      </c>
      <c r="C38" s="535">
        <v>210.50448347320943</v>
      </c>
      <c r="D38" s="535">
        <v>116.17888437747696</v>
      </c>
      <c r="E38" s="545">
        <v>123.69489336000001</v>
      </c>
      <c r="F38" s="535">
        <v>79.444530437009149</v>
      </c>
      <c r="G38" s="535">
        <v>83.5766080267787</v>
      </c>
      <c r="H38" s="545">
        <v>88.190032037026569</v>
      </c>
      <c r="I38" s="545">
        <v>96.279492336131057</v>
      </c>
      <c r="J38" s="545">
        <v>83.134338650000004</v>
      </c>
      <c r="K38" s="910">
        <v>92.698054589926684</v>
      </c>
      <c r="L38" s="546">
        <v>95.049417260000013</v>
      </c>
    </row>
    <row r="39" spans="2:12" s="25" customFormat="1" ht="21" customHeight="1" x14ac:dyDescent="0.4">
      <c r="B39" s="543" t="s">
        <v>288</v>
      </c>
      <c r="C39" s="534">
        <v>299.76360546313919</v>
      </c>
      <c r="D39" s="534">
        <v>163.97162331555973</v>
      </c>
      <c r="E39" s="541">
        <v>173.77872121000001</v>
      </c>
      <c r="F39" s="534">
        <v>121.62516952645913</v>
      </c>
      <c r="G39" s="534">
        <v>127.0890264750401</v>
      </c>
      <c r="H39" s="541">
        <v>133.90310375360161</v>
      </c>
      <c r="I39" s="541">
        <v>152.21628526082364</v>
      </c>
      <c r="J39" s="541">
        <v>125.64669230999999</v>
      </c>
      <c r="K39" s="815">
        <v>147.53945961785695</v>
      </c>
      <c r="L39" s="542">
        <v>193.78092330000004</v>
      </c>
    </row>
    <row r="40" spans="2:12" s="25" customFormat="1" ht="21" customHeight="1" x14ac:dyDescent="0.4">
      <c r="B40" s="543" t="s">
        <v>290</v>
      </c>
      <c r="C40" s="541">
        <f t="shared" ref="C40" si="45">C36+C39</f>
        <v>1359.7358181344011</v>
      </c>
      <c r="D40" s="534">
        <f t="shared" ref="D40:H40" si="46">D36+D39</f>
        <v>1163.9893625670977</v>
      </c>
      <c r="E40" s="541">
        <f t="shared" si="46"/>
        <v>1171.8970599700001</v>
      </c>
      <c r="F40" s="534">
        <f t="shared" si="46"/>
        <v>819.05126179360309</v>
      </c>
      <c r="G40" s="534">
        <f t="shared" si="46"/>
        <v>783.94603507621161</v>
      </c>
      <c r="H40" s="541">
        <f t="shared" si="46"/>
        <v>743.11246227769004</v>
      </c>
      <c r="I40" s="541">
        <f t="shared" ref="I40" si="47">I36+I39</f>
        <v>774.34113483193471</v>
      </c>
      <c r="J40" s="541">
        <f t="shared" ref="J40" si="48">J36+J39</f>
        <v>691.09652535000009</v>
      </c>
      <c r="K40" s="815">
        <f t="shared" ref="K40:L40" si="49">K36+K39</f>
        <v>704.67886610841606</v>
      </c>
      <c r="L40" s="542">
        <f t="shared" si="49"/>
        <v>736.80196504999992</v>
      </c>
    </row>
    <row r="41" spans="2:12" s="25" customFormat="1" ht="20.25" customHeight="1" x14ac:dyDescent="0.4">
      <c r="B41" s="543"/>
      <c r="C41" s="534"/>
      <c r="D41" s="534"/>
      <c r="E41" s="541"/>
      <c r="F41" s="534"/>
      <c r="G41" s="534"/>
      <c r="H41" s="541"/>
      <c r="I41" s="541"/>
      <c r="J41" s="541"/>
      <c r="K41" s="815"/>
      <c r="L41" s="542"/>
    </row>
    <row r="42" spans="2:12" s="25" customFormat="1" ht="20.25" customHeight="1" x14ac:dyDescent="0.4">
      <c r="B42" s="540" t="s">
        <v>291</v>
      </c>
      <c r="C42" s="534"/>
      <c r="D42" s="534"/>
      <c r="E42" s="541"/>
      <c r="F42" s="534"/>
      <c r="G42" s="534"/>
      <c r="H42" s="541"/>
      <c r="I42" s="541"/>
      <c r="J42" s="541"/>
      <c r="K42" s="815"/>
      <c r="L42" s="542"/>
    </row>
    <row r="43" spans="2:12" s="25" customFormat="1" ht="20.25" customHeight="1" x14ac:dyDescent="0.4">
      <c r="B43" s="543" t="s">
        <v>284</v>
      </c>
      <c r="C43" s="553">
        <f t="shared" ref="C43:F43" si="50">+C20/(C11+C13)</f>
        <v>4.1875965368941788E-2</v>
      </c>
      <c r="D43" s="553">
        <f t="shared" si="50"/>
        <v>3.4300392140169306E-2</v>
      </c>
      <c r="E43" s="554">
        <f t="shared" si="50"/>
        <v>3.6013955747160542E-2</v>
      </c>
      <c r="F43" s="553">
        <f t="shared" si="50"/>
        <v>2.0054109788193674E-2</v>
      </c>
      <c r="G43" s="553">
        <f t="shared" ref="G43" si="51">+G20/(G11+G13)</f>
        <v>2.2869879388494035E-2</v>
      </c>
      <c r="H43" s="554">
        <f t="shared" ref="H43" si="52">+H20/(H11+H13)</f>
        <v>2.2168977266699811E-2</v>
      </c>
      <c r="I43" s="554">
        <f t="shared" ref="I43" si="53">+I20/(I11+I13)</f>
        <v>2.1422940835100542E-2</v>
      </c>
      <c r="J43" s="554">
        <f>+J20/(J11+J13)</f>
        <v>1.5808705691355989E-2</v>
      </c>
      <c r="K43" s="725">
        <f>+K20/(K11+K13)</f>
        <v>1.5671312316180876E-2</v>
      </c>
      <c r="L43" s="562">
        <f>+L20/(L11+L13)</f>
        <v>1.5669883463102975E-2</v>
      </c>
    </row>
    <row r="44" spans="2:12" s="25" customFormat="1" ht="20.25" customHeight="1" x14ac:dyDescent="0.4">
      <c r="B44" s="544" t="s">
        <v>30</v>
      </c>
      <c r="C44" s="555">
        <f t="shared" ref="C44" si="54">+C21/C14</f>
        <v>3.898301835040241E-2</v>
      </c>
      <c r="D44" s="555">
        <f t="shared" ref="D44" si="55">+D21/D14</f>
        <v>2.0029598780959494E-2</v>
      </c>
      <c r="E44" s="556">
        <f t="shared" ref="E44" si="56">+E21/E14</f>
        <v>2.3953430359702099E-2</v>
      </c>
      <c r="F44" s="555">
        <f t="shared" ref="F44" si="57">+F21/F14</f>
        <v>2.1608667412946616E-2</v>
      </c>
      <c r="G44" s="555">
        <f t="shared" ref="G44" si="58">+G21/G14</f>
        <v>2.4594598046256601E-2</v>
      </c>
      <c r="H44" s="556">
        <f t="shared" ref="H44" si="59">+H21/H14</f>
        <v>2.9088822310001965E-2</v>
      </c>
      <c r="I44" s="556">
        <f t="shared" ref="I44" si="60">+I21/I14</f>
        <v>3.0688165553241879E-2</v>
      </c>
      <c r="J44" s="556">
        <f t="shared" ref="J44" si="61">+J21/J14</f>
        <v>2.1744568684774663E-2</v>
      </c>
      <c r="K44" s="726">
        <f t="shared" ref="K44:L44" si="62">+K21/K14</f>
        <v>2.585446308567407E-2</v>
      </c>
      <c r="L44" s="563">
        <f t="shared" si="62"/>
        <v>2.6475067032309001E-2</v>
      </c>
    </row>
    <row r="45" spans="2:12" s="25" customFormat="1" ht="20.25" customHeight="1" x14ac:dyDescent="0.4">
      <c r="B45" s="544" t="s">
        <v>31</v>
      </c>
      <c r="C45" s="555">
        <f t="shared" ref="C45" si="63">+C22/C15</f>
        <v>0.11974841145218729</v>
      </c>
      <c r="D45" s="555">
        <f t="shared" ref="D45" si="64">+D22/D15</f>
        <v>5.3530080314146633E-2</v>
      </c>
      <c r="E45" s="556">
        <f t="shared" ref="E45" si="65">+E22/E15</f>
        <v>5.9472986396931736E-2</v>
      </c>
      <c r="F45" s="555">
        <f t="shared" ref="F45" si="66">+F22/F15</f>
        <v>2.5922207531842489E-2</v>
      </c>
      <c r="G45" s="555">
        <f t="shared" ref="G45" si="67">+G22/G15</f>
        <v>3.0993883822514903E-2</v>
      </c>
      <c r="H45" s="556">
        <f t="shared" ref="H45" si="68">+H22/H15</f>
        <v>3.7161029050059247E-2</v>
      </c>
      <c r="I45" s="556">
        <f t="shared" ref="I45" si="69">+I22/I15</f>
        <v>4.1576611392657115E-2</v>
      </c>
      <c r="J45" s="556">
        <f t="shared" ref="J45" si="70">+J22/J15</f>
        <v>2.981070591732126E-2</v>
      </c>
      <c r="K45" s="726">
        <f t="shared" ref="K45:L45" si="71">+K22/K15</f>
        <v>3.7431514497899575E-2</v>
      </c>
      <c r="L45" s="563">
        <f t="shared" si="71"/>
        <v>4.0284271161308345E-2</v>
      </c>
    </row>
    <row r="46" spans="2:12" s="25" customFormat="1" ht="20.25" customHeight="1" x14ac:dyDescent="0.4">
      <c r="B46" s="543" t="s">
        <v>288</v>
      </c>
      <c r="C46" s="553">
        <f t="shared" ref="C46" si="72">+C23/C16</f>
        <v>5.6530992853848085E-2</v>
      </c>
      <c r="D46" s="553">
        <f t="shared" ref="D46:H46" si="73">+D23/D16</f>
        <v>2.7125688599717385E-2</v>
      </c>
      <c r="E46" s="554">
        <f t="shared" si="73"/>
        <v>3.1615958954245398E-2</v>
      </c>
      <c r="F46" s="553">
        <f t="shared" si="73"/>
        <v>2.2491597321638874E-2</v>
      </c>
      <c r="G46" s="553">
        <f t="shared" si="73"/>
        <v>2.5913907645433647E-2</v>
      </c>
      <c r="H46" s="554">
        <f t="shared" si="73"/>
        <v>3.0793165784730982E-2</v>
      </c>
      <c r="I46" s="554">
        <f t="shared" ref="I46" si="74">+I23/I16</f>
        <v>3.3025198027930615E-2</v>
      </c>
      <c r="J46" s="554">
        <f t="shared" ref="J46" si="75">+J23/J16</f>
        <v>2.3531864011676062E-2</v>
      </c>
      <c r="K46" s="725">
        <f t="shared" ref="K46:L46" si="76">+K23/K16</f>
        <v>2.8416495579757974E-2</v>
      </c>
      <c r="L46" s="562">
        <f t="shared" si="76"/>
        <v>2.9607313274326204E-2</v>
      </c>
    </row>
    <row r="47" spans="2:12" s="25" customFormat="1" ht="20.25" customHeight="1" x14ac:dyDescent="0.4">
      <c r="B47" s="543" t="s">
        <v>290</v>
      </c>
      <c r="C47" s="553">
        <f t="shared" ref="C47" si="77">+C24/(C17)</f>
        <v>4.5311372429198804E-2</v>
      </c>
      <c r="D47" s="553">
        <f t="shared" ref="D47" si="78">+D24/(D17)</f>
        <v>3.2696147772975956E-2</v>
      </c>
      <c r="E47" s="554">
        <f t="shared" ref="E47" si="79">+E24/(E17)</f>
        <v>3.5040357692990139E-2</v>
      </c>
      <c r="F47" s="553">
        <f t="shared" ref="F47" si="80">+F24/(F17)</f>
        <v>2.0569238035413929E-2</v>
      </c>
      <c r="G47" s="553">
        <f t="shared" ref="G47" si="81">+G24/(G17)</f>
        <v>2.3532210475069787E-2</v>
      </c>
      <c r="H47" s="554">
        <f t="shared" ref="H47" si="82">+H24/(H17)</f>
        <v>2.3996841290478695E-2</v>
      </c>
      <c r="I47" s="554">
        <f t="shared" ref="I47" si="83">+I24/(I17)</f>
        <v>2.3852895812579537E-2</v>
      </c>
      <c r="J47" s="554">
        <f t="shared" ref="J47" si="84">+J24/(J17)</f>
        <v>1.7318707746868042E-2</v>
      </c>
      <c r="K47" s="725">
        <f t="shared" ref="K47:L47" si="85">+K24/(K17)</f>
        <v>1.8101411856162285E-2</v>
      </c>
      <c r="L47" s="562">
        <f t="shared" si="85"/>
        <v>1.832862227719104E-2</v>
      </c>
    </row>
    <row r="48" spans="2:12" s="25" customFormat="1" ht="20.25" customHeight="1" x14ac:dyDescent="0.4">
      <c r="B48" s="543"/>
      <c r="C48" s="534"/>
      <c r="D48" s="534"/>
      <c r="E48" s="541"/>
      <c r="F48" s="534"/>
      <c r="G48" s="534"/>
      <c r="H48" s="541"/>
      <c r="I48" s="541"/>
      <c r="J48" s="541"/>
      <c r="K48" s="815"/>
      <c r="L48" s="542"/>
    </row>
    <row r="49" spans="2:12" s="25" customFormat="1" ht="20.25" customHeight="1" x14ac:dyDescent="0.4">
      <c r="B49" s="564" t="s">
        <v>47</v>
      </c>
      <c r="C49" s="553"/>
      <c r="D49" s="553"/>
      <c r="E49" s="554"/>
      <c r="F49" s="553"/>
      <c r="G49" s="553"/>
      <c r="H49" s="554"/>
      <c r="I49" s="554"/>
      <c r="J49" s="554"/>
      <c r="K49" s="725"/>
      <c r="L49" s="562"/>
    </row>
    <row r="50" spans="2:12" s="25" customFormat="1" ht="20.25" customHeight="1" x14ac:dyDescent="0.4">
      <c r="B50" s="565" t="s">
        <v>284</v>
      </c>
      <c r="C50" s="553">
        <f t="shared" ref="C50:G50" si="86">+C27/(C11+C13)</f>
        <v>6.2925696765171832E-2</v>
      </c>
      <c r="D50" s="553">
        <f t="shared" si="86"/>
        <v>5.7818685965783892E-2</v>
      </c>
      <c r="E50" s="554">
        <f t="shared" si="86"/>
        <v>5.595626294025411E-2</v>
      </c>
      <c r="F50" s="553">
        <f t="shared" si="86"/>
        <v>3.3394240961186643E-2</v>
      </c>
      <c r="G50" s="553">
        <f t="shared" si="86"/>
        <v>3.3173576930804305E-2</v>
      </c>
      <c r="H50" s="554">
        <f t="shared" ref="H50" si="87">+H27/(H11+H13)</f>
        <v>2.9502153111792561E-2</v>
      </c>
      <c r="I50" s="554">
        <f t="shared" ref="I50" si="88">+I27/(I11+I13)</f>
        <v>2.8110098894518241E-2</v>
      </c>
      <c r="J50" s="554">
        <f t="shared" ref="J50" si="89">+J27/(J11+J13)</f>
        <v>2.3724238894204819E-2</v>
      </c>
      <c r="K50" s="725">
        <f t="shared" ref="K50:L50" si="90">+K27/(K11+K13)</f>
        <v>2.2969122353596827E-2</v>
      </c>
      <c r="L50" s="562">
        <f t="shared" si="90"/>
        <v>2.2054835069662188E-2</v>
      </c>
    </row>
    <row r="51" spans="2:12" s="25" customFormat="1" ht="20.25" customHeight="1" x14ac:dyDescent="0.4">
      <c r="B51" s="566" t="s">
        <v>30</v>
      </c>
      <c r="C51" s="555">
        <f t="shared" ref="C51" si="91">+C28/C14</f>
        <v>5.8818181964395401E-2</v>
      </c>
      <c r="D51" s="555">
        <f t="shared" ref="D51" si="92">+D28/D14</f>
        <v>3.9425534716381334E-2</v>
      </c>
      <c r="E51" s="556">
        <f t="shared" ref="E51" si="93">+E28/E14</f>
        <v>4.3088773828232188E-2</v>
      </c>
      <c r="F51" s="555">
        <f t="shared" ref="F51" si="94">+F28/F14</f>
        <v>3.8886455533550843E-2</v>
      </c>
      <c r="G51" s="555">
        <f t="shared" ref="G51" si="95">+G28/G14</f>
        <v>4.1068098383779568E-2</v>
      </c>
      <c r="H51" s="556">
        <f t="shared" ref="H51" si="96">+H28/H14</f>
        <v>4.4774747827163938E-2</v>
      </c>
      <c r="I51" s="556">
        <f t="shared" ref="I51" si="97">+I28/I14</f>
        <v>4.685838711620717E-2</v>
      </c>
      <c r="J51" s="556">
        <f t="shared" ref="J51" si="98">+J28/J14</f>
        <v>3.2870841332974236E-2</v>
      </c>
      <c r="K51" s="726">
        <f t="shared" ref="K51:L51" si="99">+K28/K14</f>
        <v>3.7026927914090318E-2</v>
      </c>
      <c r="L51" s="563">
        <f t="shared" si="99"/>
        <v>3.8707387381484465E-2</v>
      </c>
    </row>
    <row r="52" spans="2:12" s="25" customFormat="1" ht="20.25" customHeight="1" x14ac:dyDescent="0.4">
      <c r="B52" s="566" t="s">
        <v>31</v>
      </c>
      <c r="C52" s="555">
        <f t="shared" ref="C52" si="100">+C29/C15</f>
        <v>0.14404053490410168</v>
      </c>
      <c r="D52" s="555">
        <f t="shared" ref="D52" si="101">+D29/D15</f>
        <v>7.4879539859700375E-2</v>
      </c>
      <c r="E52" s="556">
        <f t="shared" ref="E52" si="102">+E29/E15</f>
        <v>7.9375054982075616E-2</v>
      </c>
      <c r="F52" s="555">
        <f t="shared" ref="F52" si="103">+F29/F15</f>
        <v>4.0371599522931657E-2</v>
      </c>
      <c r="G52" s="555">
        <f t="shared" ref="G52" si="104">+G29/G15</f>
        <v>4.3917526704932153E-2</v>
      </c>
      <c r="H52" s="556">
        <f t="shared" ref="H52" si="105">+H29/H15</f>
        <v>4.8483424328114137E-2</v>
      </c>
      <c r="I52" s="556">
        <f t="shared" ref="I52" si="106">+I29/I15</f>
        <v>5.3266865414184912E-2</v>
      </c>
      <c r="J52" s="556">
        <f t="shared" ref="J52" si="107">+J29/J15</f>
        <v>3.906935794179571E-2</v>
      </c>
      <c r="K52" s="726">
        <f t="shared" ref="K52:L52" si="108">+K29/K15</f>
        <v>4.6680889837685272E-2</v>
      </c>
      <c r="L52" s="563">
        <f t="shared" si="108"/>
        <v>4.893511251396751E-2</v>
      </c>
    </row>
    <row r="53" spans="2:12" s="25" customFormat="1" ht="20.25" customHeight="1" x14ac:dyDescent="0.4">
      <c r="B53" s="565" t="s">
        <v>288</v>
      </c>
      <c r="C53" s="553">
        <f t="shared" ref="C53" si="109">+C30/C16</f>
        <v>7.7334524411028838E-2</v>
      </c>
      <c r="D53" s="553">
        <f t="shared" ref="D53" si="110">+D30/D16</f>
        <v>4.6935420945403587E-2</v>
      </c>
      <c r="E53" s="554">
        <f t="shared" ref="E53" si="111">+E30/E16</f>
        <v>5.0916705760701494E-2</v>
      </c>
      <c r="F53" s="553">
        <f t="shared" ref="F53" si="112">+F30/F16</f>
        <v>3.9190446689491343E-2</v>
      </c>
      <c r="G53" s="553">
        <f t="shared" ref="G53:L53" si="113">+G30/G16</f>
        <v>4.1655551150807206E-2</v>
      </c>
      <c r="H53" s="554">
        <f t="shared" si="113"/>
        <v>4.5557787558159528E-2</v>
      </c>
      <c r="I53" s="554">
        <f t="shared" si="113"/>
        <v>4.8233865500964083E-2</v>
      </c>
      <c r="J53" s="554">
        <f t="shared" si="113"/>
        <v>3.4244309134137556E-2</v>
      </c>
      <c r="K53" s="725">
        <f t="shared" si="113"/>
        <v>3.916337555211151E-2</v>
      </c>
      <c r="L53" s="562">
        <f t="shared" si="113"/>
        <v>4.1027271519001832E-2</v>
      </c>
    </row>
    <row r="54" spans="2:12" s="25" customFormat="1" ht="20.25" customHeight="1" x14ac:dyDescent="0.4">
      <c r="B54" s="565" t="s">
        <v>290</v>
      </c>
      <c r="C54" s="553">
        <f t="shared" ref="C54" si="114">+C31/(C17)</f>
        <v>6.630339007046146E-2</v>
      </c>
      <c r="D54" s="553">
        <f t="shared" ref="D54" si="115">+D31/(D17)</f>
        <v>5.5385217250710307E-2</v>
      </c>
      <c r="E54" s="554">
        <f t="shared" ref="E54:I54" si="116">+E31/(E17)</f>
        <v>5.4840640693371863E-2</v>
      </c>
      <c r="F54" s="553">
        <f t="shared" si="116"/>
        <v>3.4619186425063307E-2</v>
      </c>
      <c r="G54" s="553">
        <f t="shared" si="116"/>
        <v>3.5019116698260362E-2</v>
      </c>
      <c r="H54" s="554">
        <f t="shared" si="116"/>
        <v>3.2905083894451168E-2</v>
      </c>
      <c r="I54" s="554">
        <f t="shared" si="116"/>
        <v>3.2324782814917595E-2</v>
      </c>
      <c r="J54" s="554">
        <f t="shared" ref="J54" si="117">+J31/(J17)</f>
        <v>2.5781082354817866E-2</v>
      </c>
      <c r="K54" s="725">
        <f t="shared" ref="K54:L54" si="118">+K31/(K17)</f>
        <v>2.6056849413631893E-2</v>
      </c>
      <c r="L54" s="562">
        <f t="shared" si="118"/>
        <v>2.5674064286878334E-2</v>
      </c>
    </row>
    <row r="55" spans="2:12" s="25" customFormat="1" ht="20.25" customHeight="1" x14ac:dyDescent="0.4">
      <c r="B55" s="565"/>
      <c r="C55" s="553"/>
      <c r="D55" s="553"/>
      <c r="E55" s="554"/>
      <c r="F55" s="553"/>
      <c r="G55" s="553"/>
      <c r="H55" s="554"/>
      <c r="I55" s="554"/>
      <c r="J55" s="554"/>
      <c r="K55" s="725"/>
      <c r="L55" s="562"/>
    </row>
    <row r="56" spans="2:12" s="25" customFormat="1" ht="20.25" customHeight="1" x14ac:dyDescent="0.4">
      <c r="B56" s="540" t="s">
        <v>34</v>
      </c>
      <c r="C56" s="534"/>
      <c r="D56" s="534"/>
      <c r="E56" s="541"/>
      <c r="F56" s="534"/>
      <c r="G56" s="534"/>
      <c r="H56" s="541"/>
      <c r="I56" s="541"/>
      <c r="J56" s="541"/>
      <c r="K56" s="815"/>
      <c r="L56" s="542"/>
    </row>
    <row r="57" spans="2:12" s="25" customFormat="1" ht="20.25" customHeight="1" x14ac:dyDescent="0.4">
      <c r="B57" s="543" t="s">
        <v>284</v>
      </c>
      <c r="C57" s="553">
        <f t="shared" ref="C57:F57" si="119">+C36/(C11+C13)</f>
        <v>3.7598675494725127E-2</v>
      </c>
      <c r="D57" s="553">
        <f t="shared" si="119"/>
        <v>3.4822639136604362E-2</v>
      </c>
      <c r="E57" s="554">
        <f t="shared" si="119"/>
        <v>3.4368845096702988E-2</v>
      </c>
      <c r="F57" s="553">
        <f t="shared" si="119"/>
        <v>2.3029962781002746E-2</v>
      </c>
      <c r="G57" s="553">
        <f t="shared" ref="G57" si="120">+G36/(G11+G13)</f>
        <v>2.2569033895770051E-2</v>
      </c>
      <c r="H57" s="554">
        <f t="shared" ref="H57" si="121">+H36/(H11+H13)</f>
        <v>2.0132420856645006E-2</v>
      </c>
      <c r="I57" s="554">
        <f t="shared" ref="I57" si="122">+I36/(I11+I13)</f>
        <v>2.0159216967302395E-2</v>
      </c>
      <c r="J57" s="554">
        <f t="shared" ref="J57" si="123">+J36/(J11+J13)</f>
        <v>1.6967191718850781E-2</v>
      </c>
      <c r="K57" s="725">
        <f t="shared" ref="K57:L57" si="124">+K36/(K11+K13)</f>
        <v>1.6349118376161213E-2</v>
      </c>
      <c r="L57" s="562">
        <f t="shared" si="124"/>
        <v>1.5773421820776998E-2</v>
      </c>
    </row>
    <row r="58" spans="2:12" s="25" customFormat="1" ht="20.25" customHeight="1" x14ac:dyDescent="0.4">
      <c r="B58" s="544" t="s">
        <v>30</v>
      </c>
      <c r="C58" s="555">
        <f t="shared" ref="C58" si="125">+C37/C14</f>
        <v>1.3210498012167617E-2</v>
      </c>
      <c r="D58" s="555">
        <f t="shared" ref="D58" si="126">+D37/D14</f>
        <v>7.3318108709664476E-3</v>
      </c>
      <c r="E58" s="556">
        <f t="shared" ref="E58" si="127">+E37/E14</f>
        <v>7.7342428713024092E-3</v>
      </c>
      <c r="F58" s="555">
        <f t="shared" ref="F58" si="128">+F37/F14</f>
        <v>6.5356661670205787E-3</v>
      </c>
      <c r="G58" s="555">
        <f t="shared" ref="G58" si="129">+G37/G14</f>
        <v>6.7723061702229777E-3</v>
      </c>
      <c r="H58" s="556">
        <f t="shared" ref="H58" si="130">+H37/H14</f>
        <v>7.1203051659313637E-3</v>
      </c>
      <c r="I58" s="556">
        <f t="shared" ref="I58" si="131">+I37/I14</f>
        <v>8.7116776450158924E-3</v>
      </c>
      <c r="J58" s="556">
        <f t="shared" ref="J58" si="132">+J37/J14</f>
        <v>6.7429794079894899E-3</v>
      </c>
      <c r="K58" s="726">
        <f t="shared" ref="K58:L58" si="133">+K37/K14</f>
        <v>8.7724125509300328E-3</v>
      </c>
      <c r="L58" s="563">
        <f t="shared" si="133"/>
        <v>1.5735087531563108E-2</v>
      </c>
    </row>
    <row r="59" spans="2:12" s="25" customFormat="1" ht="20.25" customHeight="1" x14ac:dyDescent="0.4">
      <c r="B59" s="544" t="s">
        <v>31</v>
      </c>
      <c r="C59" s="555">
        <f t="shared" ref="C59" si="134">+C38/C15</f>
        <v>0.11223742464710711</v>
      </c>
      <c r="D59" s="555">
        <f t="shared" ref="D59" si="135">+D38/D15</f>
        <v>6.6318332566348476E-2</v>
      </c>
      <c r="E59" s="556">
        <f t="shared" ref="E59" si="136">+E38/E15</f>
        <v>6.944399960421864E-2</v>
      </c>
      <c r="F59" s="555">
        <f t="shared" ref="F59" si="137">+F38/F15</f>
        <v>4.7828400267556949E-2</v>
      </c>
      <c r="G59" s="555">
        <f t="shared" ref="G59" si="138">+G38/G15</f>
        <v>5.0086773505683288E-2</v>
      </c>
      <c r="H59" s="556">
        <f t="shared" ref="H59" si="139">+H38/H15</f>
        <v>5.1323268906638145E-2</v>
      </c>
      <c r="I59" s="556">
        <f t="shared" ref="I59" si="140">+I38/I15</f>
        <v>5.4866995454939976E-2</v>
      </c>
      <c r="J59" s="556">
        <f t="shared" ref="J59" si="141">+J38/J15</f>
        <v>4.6323392549047368E-2</v>
      </c>
      <c r="K59" s="726">
        <f t="shared" ref="K59:L59" si="142">+K38/K15</f>
        <v>5.2175077584627375E-2</v>
      </c>
      <c r="L59" s="563">
        <f t="shared" si="142"/>
        <v>5.1636225993652571E-2</v>
      </c>
    </row>
    <row r="60" spans="2:12" s="25" customFormat="1" ht="20.25" customHeight="1" x14ac:dyDescent="0.4">
      <c r="B60" s="543" t="s">
        <v>288</v>
      </c>
      <c r="C60" s="553">
        <f t="shared" ref="C60" si="143">+C39/C16</f>
        <v>3.4726173439569213E-2</v>
      </c>
      <c r="D60" s="553">
        <f t="shared" ref="D60" si="144">+D39/D16</f>
        <v>1.982636727404034E-2</v>
      </c>
      <c r="E60" s="554">
        <f t="shared" ref="E60" si="145">+E39/E16</f>
        <v>2.1046705871477958E-2</v>
      </c>
      <c r="F60" s="553">
        <f t="shared" ref="F60" si="146">+F39/F16</f>
        <v>1.4987793409173725E-2</v>
      </c>
      <c r="G60" s="553">
        <f t="shared" ref="G60" si="147">+G39/G16</f>
        <v>1.5702239062253702E-2</v>
      </c>
      <c r="H60" s="554">
        <f t="shared" ref="H60" si="148">+H39/H16</f>
        <v>1.6453197055494442E-2</v>
      </c>
      <c r="I60" s="554">
        <f t="shared" ref="I60" si="149">+I39/I16</f>
        <v>1.8618185717169271E-2</v>
      </c>
      <c r="J60" s="554">
        <f t="shared" ref="J60" si="150">+J39/J16</f>
        <v>1.5513210486925062E-2</v>
      </c>
      <c r="K60" s="725">
        <f t="shared" ref="K60:L60" si="151">+K39/K16</f>
        <v>1.8377538604766531E-2</v>
      </c>
      <c r="L60" s="562">
        <f t="shared" si="151"/>
        <v>2.3878294408769835E-2</v>
      </c>
    </row>
    <row r="61" spans="2:12" s="25" customFormat="1" ht="20.25" customHeight="1" x14ac:dyDescent="0.4">
      <c r="B61" s="543" t="s">
        <v>290</v>
      </c>
      <c r="C61" s="553">
        <f t="shared" ref="C61:E61" si="152">+C40/C17</f>
        <v>3.6925308361770305E-2</v>
      </c>
      <c r="D61" s="553">
        <f t="shared" si="152"/>
        <v>3.1469513181116723E-2</v>
      </c>
      <c r="E61" s="554">
        <f t="shared" si="152"/>
        <v>3.1419682230563427E-2</v>
      </c>
      <c r="F61" s="553">
        <f t="shared" ref="F61" si="153">+F40/F17</f>
        <v>2.1330364914135598E-2</v>
      </c>
      <c r="G61" s="553">
        <f t="shared" ref="G61" si="154">+G40/G17</f>
        <v>2.1074930917912633E-2</v>
      </c>
      <c r="H61" s="554">
        <f t="shared" ref="H61" si="155">+H40/H17</f>
        <v>1.9352623336276169E-2</v>
      </c>
      <c r="I61" s="554">
        <f t="shared" ref="I61" si="156">+I40/I17</f>
        <v>1.9836466273667905E-2</v>
      </c>
      <c r="J61" s="554">
        <f t="shared" ref="J61" si="157">+J40/J17</f>
        <v>1.6682914929767322E-2</v>
      </c>
      <c r="K61" s="725">
        <f t="shared" ref="K61:L61" si="158">+K40/K17</f>
        <v>1.6735873353510934E-2</v>
      </c>
      <c r="L61" s="562">
        <f t="shared" si="158"/>
        <v>1.7319527496271244E-2</v>
      </c>
    </row>
    <row r="62" spans="2:12" s="25" customFormat="1" ht="20.25" customHeight="1" x14ac:dyDescent="0.4">
      <c r="B62" s="543"/>
      <c r="C62" s="534"/>
      <c r="D62" s="534"/>
      <c r="E62" s="541"/>
      <c r="F62" s="534"/>
      <c r="G62" s="534"/>
      <c r="H62" s="541"/>
      <c r="I62" s="541"/>
      <c r="J62" s="541"/>
      <c r="K62" s="815"/>
      <c r="L62" s="542"/>
    </row>
    <row r="63" spans="2:12" s="25" customFormat="1" ht="20.25" customHeight="1" x14ac:dyDescent="0.4">
      <c r="B63" s="540" t="s">
        <v>33</v>
      </c>
      <c r="C63" s="534"/>
      <c r="D63" s="534"/>
      <c r="E63" s="541"/>
      <c r="F63" s="534"/>
      <c r="G63" s="534"/>
      <c r="H63" s="541"/>
      <c r="I63" s="541"/>
      <c r="J63" s="541"/>
      <c r="K63" s="815"/>
      <c r="L63" s="542"/>
    </row>
    <row r="64" spans="2:12" s="25" customFormat="1" ht="20.25" customHeight="1" x14ac:dyDescent="0.4">
      <c r="B64" s="543" t="s">
        <v>284</v>
      </c>
      <c r="C64" s="553">
        <f>+C36/C20</f>
        <v>0.89785811893451872</v>
      </c>
      <c r="D64" s="553">
        <f t="shared" ref="D64" si="159">+D36/D20</f>
        <v>1.0152256858843154</v>
      </c>
      <c r="E64" s="554">
        <f t="shared" ref="E64" si="160">+E36/E20</f>
        <v>0.95432019015052927</v>
      </c>
      <c r="F64" s="553">
        <f t="shared" ref="F64" si="161">+F36/F20</f>
        <v>1.1483911788775099</v>
      </c>
      <c r="G64" s="553">
        <f t="shared" ref="G64" si="162">+G36/G20</f>
        <v>0.98684533977580402</v>
      </c>
      <c r="H64" s="554">
        <f t="shared" ref="H64" si="163">+H36/H20</f>
        <v>0.9081348505366581</v>
      </c>
      <c r="I64" s="554">
        <f t="shared" ref="I64" si="164">+I36/I20</f>
        <v>0.94101071941870884</v>
      </c>
      <c r="J64" s="554">
        <f>+J36/J20</f>
        <v>1.073281522859157</v>
      </c>
      <c r="K64" s="725">
        <f>+K36/K20</f>
        <v>1.0432513912239814</v>
      </c>
      <c r="L64" s="562">
        <f>+L36/L20</f>
        <v>1.0066074746450933</v>
      </c>
    </row>
    <row r="65" spans="2:12" s="25" customFormat="1" ht="20.25" customHeight="1" x14ac:dyDescent="0.4">
      <c r="B65" s="544" t="s">
        <v>30</v>
      </c>
      <c r="C65" s="555">
        <f t="shared" ref="C65" si="165">+C37/C21</f>
        <v>0.33887827498178447</v>
      </c>
      <c r="D65" s="555">
        <f t="shared" ref="D65" si="166">+D37/D21</f>
        <v>0.36604881361558789</v>
      </c>
      <c r="E65" s="556">
        <f t="shared" ref="E65" si="167">+E37/E21</f>
        <v>0.322886649434315</v>
      </c>
      <c r="F65" s="555">
        <f t="shared" ref="F65" si="168">+F37/F21</f>
        <v>0.30245577120155037</v>
      </c>
      <c r="G65" s="555">
        <f t="shared" ref="G65" si="169">+G37/G21</f>
        <v>0.2753574649801504</v>
      </c>
      <c r="H65" s="556">
        <f t="shared" ref="H65" si="170">+H37/H21</f>
        <v>0.24477804876559414</v>
      </c>
      <c r="I65" s="556">
        <f t="shared" ref="I65" si="171">+I37/I21</f>
        <v>0.28387743248783393</v>
      </c>
      <c r="J65" s="556">
        <f t="shared" ref="J65" si="172">+J37/J21</f>
        <v>0.3100994784371538</v>
      </c>
      <c r="K65" s="726">
        <f t="shared" ref="K65:L65" si="173">+K37/K21</f>
        <v>0.33929973799343049</v>
      </c>
      <c r="L65" s="563">
        <f t="shared" si="173"/>
        <v>0.5943360790120269</v>
      </c>
    </row>
    <row r="66" spans="2:12" s="25" customFormat="1" ht="20.25" customHeight="1" x14ac:dyDescent="0.4">
      <c r="B66" s="544" t="s">
        <v>31</v>
      </c>
      <c r="C66" s="555">
        <f t="shared" ref="C66" si="174">+C38/C22</f>
        <v>0.93727693992768202</v>
      </c>
      <c r="D66" s="555">
        <f t="shared" ref="D66" si="175">+D38/D22</f>
        <v>1.2388984320059433</v>
      </c>
      <c r="E66" s="556">
        <f t="shared" ref="E66" si="176">+E38/E22</f>
        <v>1.167656171505141</v>
      </c>
      <c r="F66" s="555">
        <f t="shared" ref="F66" si="177">+F38/F22</f>
        <v>1.8450743521285828</v>
      </c>
      <c r="G66" s="555">
        <f t="shared" ref="G66" si="178">+G38/G22</f>
        <v>1.6160212057483008</v>
      </c>
      <c r="H66" s="556">
        <f t="shared" ref="H66" si="179">+H38/H22</f>
        <v>1.3811046200443235</v>
      </c>
      <c r="I66" s="556">
        <f t="shared" ref="I66" si="180">+I38/I22</f>
        <v>1.3196601073802301</v>
      </c>
      <c r="J66" s="556">
        <f t="shared" ref="J66" si="181">+J38/J22</f>
        <v>1.5539180010538278</v>
      </c>
      <c r="K66" s="726">
        <f t="shared" ref="K66:L66" si="182">+K38/K22</f>
        <v>1.393881019362845</v>
      </c>
      <c r="L66" s="563">
        <f t="shared" si="182"/>
        <v>1.2817962074301443</v>
      </c>
    </row>
    <row r="67" spans="2:12" s="25" customFormat="1" ht="20.25" customHeight="1" x14ac:dyDescent="0.4">
      <c r="B67" s="543" t="s">
        <v>288</v>
      </c>
      <c r="C67" s="553">
        <f t="shared" ref="C67" si="183">+C39/C23</f>
        <v>0.61428557480581014</v>
      </c>
      <c r="D67" s="553">
        <f t="shared" ref="D67" si="184">+D39/D23</f>
        <v>0.73090742751676741</v>
      </c>
      <c r="E67" s="554">
        <f t="shared" ref="E67" si="185">+E39/E23</f>
        <v>0.6656987979373562</v>
      </c>
      <c r="F67" s="553">
        <f t="shared" ref="F67" si="186">+F39/F23</f>
        <v>0.66637301009982808</v>
      </c>
      <c r="G67" s="553">
        <f t="shared" ref="G67" si="187">+G39/G23</f>
        <v>0.60593868269884921</v>
      </c>
      <c r="H67" s="554">
        <f t="shared" ref="H67" si="188">+H39/H23</f>
        <v>0.53431326842181592</v>
      </c>
      <c r="I67" s="554">
        <f t="shared" ref="I67" si="189">+I39/I23</f>
        <v>0.56375697433890304</v>
      </c>
      <c r="J67" s="554">
        <f t="shared" ref="J67" si="190">+J39/J23</f>
        <v>0.65924273908890951</v>
      </c>
      <c r="K67" s="725">
        <f t="shared" ref="K67:L67" si="191">+K39/K23</f>
        <v>0.64672079472943422</v>
      </c>
      <c r="L67" s="562">
        <f t="shared" si="191"/>
        <v>0.8064998734443003</v>
      </c>
    </row>
    <row r="68" spans="2:12" s="25" customFormat="1" ht="20.25" customHeight="1" x14ac:dyDescent="0.4">
      <c r="B68" s="543" t="s">
        <v>290</v>
      </c>
      <c r="C68" s="553">
        <f t="shared" ref="C68" si="192">+C40/C24</f>
        <v>0.81492363577086246</v>
      </c>
      <c r="D68" s="553">
        <f t="shared" ref="D68" si="193">+D40/D24</f>
        <v>0.96248381918333903</v>
      </c>
      <c r="E68" s="554">
        <f t="shared" ref="E68" si="194">+E40/E24</f>
        <v>0.89667127561454574</v>
      </c>
      <c r="F68" s="553">
        <f t="shared" ref="F68" si="195">+F40/F24</f>
        <v>1.0370031635304742</v>
      </c>
      <c r="G68" s="553">
        <f t="shared" ref="G68" si="196">+G40/G24</f>
        <v>0.89557803931082403</v>
      </c>
      <c r="H68" s="554">
        <f t="shared" ref="H68" si="197">+H40/H24</f>
        <v>0.80646544693174982</v>
      </c>
      <c r="I68" s="554">
        <f t="shared" ref="I68" si="198">+I40/I24</f>
        <v>0.83161669046516984</v>
      </c>
      <c r="J68" s="554">
        <f t="shared" ref="J68" si="199">+J40/J24</f>
        <v>0.96328866873940422</v>
      </c>
      <c r="K68" s="725">
        <f t="shared" ref="K68:L68" si="200">+K40/K24</f>
        <v>0.92456176824757008</v>
      </c>
      <c r="L68" s="562">
        <f t="shared" si="200"/>
        <v>0.94494431901869891</v>
      </c>
    </row>
    <row r="69" spans="2:12" s="25" customFormat="1" ht="20.25" customHeight="1" x14ac:dyDescent="0.4">
      <c r="B69" s="543"/>
      <c r="C69" s="553"/>
      <c r="D69" s="553"/>
      <c r="E69" s="554"/>
      <c r="F69" s="553"/>
      <c r="G69" s="553"/>
      <c r="H69" s="554"/>
      <c r="I69" s="554"/>
      <c r="J69" s="554"/>
      <c r="K69" s="725"/>
      <c r="L69" s="562"/>
    </row>
    <row r="70" spans="2:12" s="25" customFormat="1" ht="20.25" customHeight="1" x14ac:dyDescent="0.4">
      <c r="B70" s="540" t="s">
        <v>49</v>
      </c>
      <c r="C70" s="534"/>
      <c r="D70" s="534"/>
      <c r="E70" s="541"/>
      <c r="F70" s="534"/>
      <c r="G70" s="534"/>
      <c r="H70" s="541"/>
      <c r="I70" s="541"/>
      <c r="J70" s="541"/>
      <c r="K70" s="815"/>
      <c r="L70" s="542"/>
    </row>
    <row r="71" spans="2:12" s="25" customFormat="1" ht="20.25" customHeight="1" x14ac:dyDescent="0.4">
      <c r="B71" s="543" t="s">
        <v>284</v>
      </c>
      <c r="C71" s="553">
        <f t="shared" ref="C71" si="201">+C36/C27</f>
        <v>0.59750908496153954</v>
      </c>
      <c r="D71" s="553">
        <f t="shared" ref="D71" si="202">+D36/D27</f>
        <v>0.60227309830617393</v>
      </c>
      <c r="E71" s="554">
        <f t="shared" ref="E71" si="203">+E36/E27</f>
        <v>0.61420908564604215</v>
      </c>
      <c r="F71" s="553">
        <f t="shared" ref="F71" si="204">+F36/F27</f>
        <v>0.68963875560968557</v>
      </c>
      <c r="G71" s="553">
        <f t="shared" ref="G71" si="205">+G36/G27</f>
        <v>0.68033163691832432</v>
      </c>
      <c r="H71" s="554">
        <f t="shared" ref="H71" si="206">+H36/H27</f>
        <v>0.68240513769816014</v>
      </c>
      <c r="I71" s="554">
        <f t="shared" ref="I71" si="207">+I36/I27</f>
        <v>0.71715211828136449</v>
      </c>
      <c r="J71" s="554">
        <f t="shared" ref="J71" si="208">+J36/J27</f>
        <v>0.71518381662374009</v>
      </c>
      <c r="K71" s="725">
        <f t="shared" ref="K71:L71" si="209">+K36/K27</f>
        <v>0.71178681207212258</v>
      </c>
      <c r="L71" s="562">
        <f t="shared" si="209"/>
        <v>0.71519110303728051</v>
      </c>
    </row>
    <row r="72" spans="2:12" s="25" customFormat="1" ht="20.25" customHeight="1" x14ac:dyDescent="0.4">
      <c r="B72" s="544" t="s">
        <v>30</v>
      </c>
      <c r="C72" s="555">
        <f t="shared" ref="C72" si="210">+C37/C28</f>
        <v>0.22459888372891854</v>
      </c>
      <c r="D72" s="555">
        <f t="shared" ref="D72" si="211">+D37/D28</f>
        <v>0.185966047733021</v>
      </c>
      <c r="E72" s="556">
        <f t="shared" ref="E72" si="212">+E37/E28</f>
        <v>0.1794955433666775</v>
      </c>
      <c r="F72" s="555">
        <f t="shared" ref="F72" si="213">+F37/F28</f>
        <v>0.1680705036585726</v>
      </c>
      <c r="G72" s="555">
        <f t="shared" ref="G72" si="214">+G37/G28</f>
        <v>0.16490430374779166</v>
      </c>
      <c r="H72" s="556">
        <f t="shared" ref="H72" si="215">+H37/H28</f>
        <v>0.15902501993794857</v>
      </c>
      <c r="I72" s="556">
        <f t="shared" ref="I72" si="216">+I37/I28</f>
        <v>0.18591501289643697</v>
      </c>
      <c r="J72" s="556">
        <f t="shared" ref="J72" si="217">+J37/J28</f>
        <v>0.20513558931104389</v>
      </c>
      <c r="K72" s="726">
        <f t="shared" ref="K72:L72" si="218">+K37/K28</f>
        <v>0.23691980526398887</v>
      </c>
      <c r="L72" s="563">
        <f t="shared" si="218"/>
        <v>0.40651381030924166</v>
      </c>
    </row>
    <row r="73" spans="2:12" s="25" customFormat="1" ht="20.25" customHeight="1" x14ac:dyDescent="0.4">
      <c r="B73" s="544" t="s">
        <v>31</v>
      </c>
      <c r="C73" s="555">
        <f t="shared" ref="C73" si="219">+C38/C29</f>
        <v>0.77920721914724744</v>
      </c>
      <c r="D73" s="555">
        <f t="shared" ref="D73" si="220">+D38/D29</f>
        <v>0.88566693506139604</v>
      </c>
      <c r="E73" s="556">
        <f t="shared" ref="E73" si="221">+E38/E29</f>
        <v>0.87488442836229097</v>
      </c>
      <c r="F73" s="555">
        <f t="shared" ref="F73" si="222">+F38/F29</f>
        <v>1.1847041195479442</v>
      </c>
      <c r="G73" s="555">
        <f t="shared" ref="G73" si="223">+G38/G29</f>
        <v>1.140473457036876</v>
      </c>
      <c r="H73" s="556">
        <f t="shared" ref="H73" si="224">+H38/H29</f>
        <v>1.0585735149255384</v>
      </c>
      <c r="I73" s="556">
        <f t="shared" ref="I73" si="225">+I38/I29</f>
        <v>1.030039876165286</v>
      </c>
      <c r="J73" s="556">
        <f t="shared" ref="J73" si="226">+J38/J29</f>
        <v>1.1856706889849198</v>
      </c>
      <c r="K73" s="726">
        <f t="shared" ref="K73:L73" si="227">+K38/K29</f>
        <v>1.1176967227070009</v>
      </c>
      <c r="L73" s="563">
        <f t="shared" si="227"/>
        <v>1.0551978597967684</v>
      </c>
    </row>
    <row r="74" spans="2:12" s="25" customFormat="1" ht="20.25" customHeight="1" x14ac:dyDescent="0.4">
      <c r="B74" s="543" t="s">
        <v>288</v>
      </c>
      <c r="C74" s="553">
        <f t="shared" ref="C74" si="228">+C39/C30</f>
        <v>0.44903843017125794</v>
      </c>
      <c r="D74" s="553">
        <f t="shared" ref="D74" si="229">+D39/D30</f>
        <v>0.42241801340405249</v>
      </c>
      <c r="E74" s="554">
        <f t="shared" ref="E74" si="230">+E39/E30</f>
        <v>0.41335560808653521</v>
      </c>
      <c r="F74" s="553">
        <f t="shared" ref="F74" si="231">+F39/F30</f>
        <v>0.38243487061842046</v>
      </c>
      <c r="G74" s="553">
        <f t="shared" ref="G74" si="232">+G39/G30</f>
        <v>0.37695429848968454</v>
      </c>
      <c r="H74" s="554">
        <f t="shared" ref="H74" si="233">+H39/H30</f>
        <v>0.36115004563138903</v>
      </c>
      <c r="I74" s="554">
        <f t="shared" ref="I74" si="234">+I39/I30</f>
        <v>0.38599820942812757</v>
      </c>
      <c r="J74" s="554">
        <f t="shared" ref="J74" si="235">+J39/J30</f>
        <v>0.45301572375598642</v>
      </c>
      <c r="K74" s="725">
        <f t="shared" ref="K74:L74" si="236">+K39/K30</f>
        <v>0.46925318223177775</v>
      </c>
      <c r="L74" s="562">
        <f t="shared" si="236"/>
        <v>0.58201029521815928</v>
      </c>
    </row>
    <row r="75" spans="2:12" s="25" customFormat="1" ht="20.25" customHeight="1" x14ac:dyDescent="0.4">
      <c r="B75" s="543" t="s">
        <v>290</v>
      </c>
      <c r="C75" s="553">
        <f t="shared" ref="C75" si="237">+C40/C31</f>
        <v>0.55691433458423933</v>
      </c>
      <c r="D75" s="553">
        <f t="shared" ref="D75" si="238">+D40/D31</f>
        <v>0.56819336897542161</v>
      </c>
      <c r="E75" s="554">
        <f t="shared" ref="E75" si="239">+E40/E31</f>
        <v>0.57292697228391176</v>
      </c>
      <c r="F75" s="553">
        <f t="shared" ref="F75" si="240">+F40/F31</f>
        <v>0.61614287095704312</v>
      </c>
      <c r="G75" s="553">
        <f t="shared" ref="G75:L75" si="241">+G40/G31</f>
        <v>0.60181217874520421</v>
      </c>
      <c r="H75" s="554">
        <f t="shared" si="241"/>
        <v>0.58813475140659432</v>
      </c>
      <c r="I75" s="554">
        <f t="shared" si="241"/>
        <v>0.61366123903278191</v>
      </c>
      <c r="J75" s="554">
        <f t="shared" si="241"/>
        <v>0.64709908995150034</v>
      </c>
      <c r="K75" s="725">
        <f t="shared" si="241"/>
        <v>0.64228307451304534</v>
      </c>
      <c r="L75" s="562">
        <f t="shared" si="241"/>
        <v>0.67459235525568961</v>
      </c>
    </row>
    <row r="76" spans="2:12" s="25" customFormat="1" ht="20.25" customHeight="1" x14ac:dyDescent="0.4">
      <c r="B76" s="547"/>
      <c r="C76" s="548"/>
      <c r="D76" s="548"/>
      <c r="E76" s="549"/>
      <c r="F76" s="548"/>
      <c r="G76" s="548"/>
      <c r="H76" s="549"/>
      <c r="I76" s="549"/>
      <c r="J76" s="549"/>
      <c r="K76" s="724"/>
      <c r="L76" s="550"/>
    </row>
    <row r="77" spans="2:12" s="26" customFormat="1" ht="11.25" customHeight="1" x14ac:dyDescent="0.4">
      <c r="B77" s="557"/>
      <c r="C77" s="558"/>
      <c r="D77" s="558"/>
      <c r="E77" s="558"/>
      <c r="F77" s="558"/>
      <c r="G77" s="558"/>
      <c r="H77" s="558"/>
      <c r="I77" s="558"/>
      <c r="J77" s="558"/>
      <c r="K77" s="558"/>
      <c r="L77" s="558"/>
    </row>
    <row r="78" spans="2:12" s="15" customFormat="1" ht="20.25" customHeight="1" x14ac:dyDescent="0.25">
      <c r="B78" s="121" t="s">
        <v>187</v>
      </c>
      <c r="C78" s="536"/>
      <c r="D78" s="536"/>
      <c r="E78" s="536"/>
      <c r="F78" s="536"/>
      <c r="G78" s="536"/>
      <c r="H78" s="536"/>
      <c r="I78" s="536"/>
      <c r="J78" s="536"/>
      <c r="K78" s="536"/>
      <c r="L78" s="536"/>
    </row>
    <row r="79" spans="2:12" ht="21" customHeight="1" x14ac:dyDescent="0.2">
      <c r="B79" s="43"/>
    </row>
    <row r="80" spans="2:12" ht="21" customHeight="1" x14ac:dyDescent="0.2">
      <c r="B80" s="42"/>
    </row>
  </sheetData>
  <mergeCells count="1">
    <mergeCell ref="B5:L5"/>
  </mergeCells>
  <hyperlinks>
    <hyperlink ref="L2" location="'Cover '!A1" display="Back to Cover" xr:uid="{00000000-0004-0000-0500-000000000000}"/>
  </hyperlinks>
  <printOptions horizontalCentered="1" verticalCentered="1"/>
  <pageMargins left="0" right="0" top="0" bottom="0" header="0" footer="0"/>
  <pageSetup paperSize="8" scale="71"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E4A19-A266-4852-887B-A53652914792}">
  <sheetPr>
    <pageSetUpPr fitToPage="1"/>
  </sheetPr>
  <dimension ref="A1:T56"/>
  <sheetViews>
    <sheetView showGridLines="0" view="pageBreakPreview" zoomScale="85" zoomScaleNormal="90" zoomScaleSheetLayoutView="85" workbookViewId="0">
      <selection activeCell="B5" sqref="B5:L5"/>
    </sheetView>
  </sheetViews>
  <sheetFormatPr defaultColWidth="9.109375" defaultRowHeight="15" customHeight="1" x14ac:dyDescent="0.45"/>
  <cols>
    <col min="1" max="1" width="2.44140625" style="20" customWidth="1"/>
    <col min="2" max="2" width="46.33203125" style="20" customWidth="1"/>
    <col min="3" max="12" width="14.5546875" style="22" customWidth="1"/>
    <col min="13" max="13" width="2.44140625" style="20" customWidth="1"/>
    <col min="14" max="14" width="19.109375" style="90" customWidth="1"/>
    <col min="15" max="15" width="19.88671875" style="90" bestFit="1" customWidth="1"/>
    <col min="16" max="17" width="12.109375" style="20" bestFit="1" customWidth="1"/>
    <col min="18" max="16384" width="9.109375" style="20"/>
  </cols>
  <sheetData>
    <row r="1" spans="1:17" s="23" customFormat="1" ht="15.75" customHeight="1" x14ac:dyDescent="0.45">
      <c r="B1" s="527"/>
      <c r="C1" s="527"/>
      <c r="D1" s="527"/>
      <c r="E1" s="527"/>
      <c r="F1" s="527"/>
      <c r="G1" s="527"/>
      <c r="H1" s="527"/>
      <c r="I1" s="527"/>
      <c r="J1" s="527"/>
      <c r="K1" s="527"/>
      <c r="L1" s="527"/>
      <c r="N1" s="88"/>
      <c r="O1" s="88"/>
    </row>
    <row r="2" spans="1:17" s="23" customFormat="1" ht="15.75" customHeight="1" x14ac:dyDescent="0.45">
      <c r="B2" s="527"/>
      <c r="C2" s="552"/>
      <c r="D2" s="552"/>
      <c r="E2" s="552"/>
      <c r="F2" s="552"/>
      <c r="G2" s="552"/>
      <c r="H2" s="552"/>
      <c r="I2" s="552"/>
      <c r="J2" s="552"/>
      <c r="K2" s="552"/>
      <c r="L2" s="528" t="s">
        <v>20</v>
      </c>
      <c r="N2" s="88"/>
      <c r="O2" s="88"/>
    </row>
    <row r="3" spans="1:17" s="23" customFormat="1" ht="15.75" customHeight="1" x14ac:dyDescent="0.45">
      <c r="B3" s="527"/>
      <c r="C3" s="527"/>
      <c r="D3" s="527"/>
      <c r="E3" s="527"/>
      <c r="F3" s="527"/>
      <c r="G3" s="527"/>
      <c r="H3" s="527"/>
      <c r="I3" s="527"/>
      <c r="J3" s="527"/>
      <c r="K3" s="527"/>
      <c r="L3" s="527"/>
      <c r="N3" s="88"/>
      <c r="O3" s="88"/>
    </row>
    <row r="4" spans="1:17" s="24" customFormat="1" ht="15.75" customHeight="1" x14ac:dyDescent="0.45">
      <c r="B4" s="529"/>
      <c r="C4" s="529"/>
      <c r="D4" s="529"/>
      <c r="E4" s="529"/>
      <c r="F4" s="529"/>
      <c r="G4" s="529"/>
      <c r="H4" s="529"/>
      <c r="I4" s="529"/>
      <c r="J4" s="529"/>
      <c r="K4" s="529"/>
      <c r="L4" s="529"/>
      <c r="N4" s="89"/>
      <c r="O4" s="89"/>
    </row>
    <row r="5" spans="1:17" ht="27.6" x14ac:dyDescent="0.45">
      <c r="A5" s="16"/>
      <c r="B5" s="937" t="s">
        <v>118</v>
      </c>
      <c r="C5" s="937"/>
      <c r="D5" s="937"/>
      <c r="E5" s="937"/>
      <c r="F5" s="937"/>
      <c r="G5" s="937"/>
      <c r="H5" s="937"/>
      <c r="I5" s="937"/>
      <c r="J5" s="937"/>
      <c r="K5" s="937"/>
      <c r="L5" s="937"/>
    </row>
    <row r="6" spans="1:17" ht="9" customHeight="1" x14ac:dyDescent="0.45">
      <c r="A6" s="16"/>
      <c r="B6" s="124"/>
      <c r="C6" s="124"/>
      <c r="D6" s="124"/>
      <c r="E6" s="124"/>
      <c r="F6" s="124"/>
      <c r="G6" s="124"/>
      <c r="H6" s="124"/>
      <c r="I6" s="124"/>
      <c r="J6" s="124"/>
      <c r="K6" s="124"/>
      <c r="L6" s="124"/>
    </row>
    <row r="7" spans="1:17" ht="11.25" customHeight="1" x14ac:dyDescent="0.45">
      <c r="A7" s="18"/>
      <c r="B7" s="484"/>
      <c r="C7" s="484"/>
      <c r="D7" s="484"/>
      <c r="E7" s="484"/>
      <c r="F7" s="484"/>
      <c r="G7" s="484"/>
      <c r="H7" s="484"/>
      <c r="I7" s="484"/>
      <c r="J7" s="484"/>
      <c r="K7" s="484"/>
      <c r="L7" s="484"/>
    </row>
    <row r="8" spans="1:17" s="23" customFormat="1" ht="11.25" customHeight="1" x14ac:dyDescent="0.45">
      <c r="B8" s="527"/>
      <c r="C8" s="530"/>
      <c r="D8" s="530"/>
      <c r="E8" s="530"/>
      <c r="F8" s="530"/>
      <c r="G8" s="530"/>
      <c r="H8" s="530"/>
      <c r="I8" s="530"/>
      <c r="J8" s="530"/>
      <c r="K8" s="530"/>
      <c r="L8" s="530"/>
      <c r="N8" s="88"/>
      <c r="O8" s="88"/>
    </row>
    <row r="9" spans="1:17" s="23" customFormat="1" ht="22.5" customHeight="1" x14ac:dyDescent="0.45">
      <c r="B9" s="537" t="s">
        <v>100</v>
      </c>
      <c r="C9" s="538">
        <v>45016</v>
      </c>
      <c r="D9" s="538">
        <v>45107</v>
      </c>
      <c r="E9" s="538">
        <v>45199</v>
      </c>
      <c r="F9" s="538">
        <v>45291</v>
      </c>
      <c r="G9" s="538">
        <v>45382</v>
      </c>
      <c r="H9" s="538">
        <v>45473</v>
      </c>
      <c r="I9" s="538">
        <v>45565</v>
      </c>
      <c r="J9" s="538">
        <v>45657</v>
      </c>
      <c r="K9" s="551">
        <v>45747</v>
      </c>
      <c r="L9" s="539">
        <v>45838</v>
      </c>
      <c r="N9" s="88"/>
      <c r="O9" s="88"/>
    </row>
    <row r="10" spans="1:17" s="25" customFormat="1" ht="22.5" customHeight="1" x14ac:dyDescent="0.45">
      <c r="B10" s="540" t="s">
        <v>292</v>
      </c>
      <c r="C10" s="534">
        <v>28129.292289959998</v>
      </c>
      <c r="D10" s="534">
        <v>28654.617957729999</v>
      </c>
      <c r="E10" s="541">
        <v>28978.402439199999</v>
      </c>
      <c r="F10" s="534">
        <v>30230.87074523</v>
      </c>
      <c r="G10" s="534">
        <v>29054.406812539997</v>
      </c>
      <c r="H10" s="541">
        <v>30209.86888967</v>
      </c>
      <c r="I10" s="541">
        <v>30810.177918440004</v>
      </c>
      <c r="J10" s="541">
        <v>33276.284999199997</v>
      </c>
      <c r="K10" s="815">
        <v>34023.680784379998</v>
      </c>
      <c r="L10" s="542">
        <v>34221.24159215</v>
      </c>
      <c r="N10" s="91"/>
      <c r="O10" s="760"/>
      <c r="P10" s="77"/>
      <c r="Q10" s="78"/>
    </row>
    <row r="11" spans="1:17" s="25" customFormat="1" ht="22.5" customHeight="1" x14ac:dyDescent="0.45">
      <c r="B11" s="544" t="s">
        <v>89</v>
      </c>
      <c r="C11" s="535">
        <v>24426.348223639998</v>
      </c>
      <c r="D11" s="535">
        <v>25064.457715209999</v>
      </c>
      <c r="E11" s="545">
        <v>25731.94263455</v>
      </c>
      <c r="F11" s="535">
        <v>27558.26636704</v>
      </c>
      <c r="G11" s="535">
        <v>26450.677390919998</v>
      </c>
      <c r="H11" s="545">
        <v>27746.137670370001</v>
      </c>
      <c r="I11" s="545">
        <v>28598.290656970003</v>
      </c>
      <c r="J11" s="545">
        <v>31226.815425860001</v>
      </c>
      <c r="K11" s="910">
        <v>32104.24333935</v>
      </c>
      <c r="L11" s="546">
        <v>32455.167390490002</v>
      </c>
      <c r="N11" s="91"/>
      <c r="O11" s="761"/>
    </row>
    <row r="12" spans="1:17" s="25" customFormat="1" ht="22.5" customHeight="1" x14ac:dyDescent="0.45">
      <c r="B12" s="544" t="s">
        <v>90</v>
      </c>
      <c r="C12" s="535">
        <v>1814.3409599000001</v>
      </c>
      <c r="D12" s="535">
        <v>1817.3229582000001</v>
      </c>
      <c r="E12" s="545">
        <v>1533.9733158299998</v>
      </c>
      <c r="F12" s="535">
        <v>1510.5449838699999</v>
      </c>
      <c r="G12" s="535">
        <v>1494.5605430399999</v>
      </c>
      <c r="H12" s="545">
        <v>1428.2427050699998</v>
      </c>
      <c r="I12" s="545">
        <v>1205.8331252799999</v>
      </c>
      <c r="J12" s="545">
        <v>1127.15963119</v>
      </c>
      <c r="K12" s="910">
        <v>1007.90763089</v>
      </c>
      <c r="L12" s="546">
        <v>879.08055585</v>
      </c>
      <c r="N12" s="92"/>
      <c r="O12" s="761"/>
    </row>
    <row r="13" spans="1:17" s="25" customFormat="1" ht="22.5" customHeight="1" x14ac:dyDescent="0.45">
      <c r="B13" s="560" t="s">
        <v>452</v>
      </c>
      <c r="C13" s="535">
        <v>1717.2322469899993</v>
      </c>
      <c r="D13" s="535">
        <v>1603.2801201000009</v>
      </c>
      <c r="E13" s="545">
        <v>1567.7925756899999</v>
      </c>
      <c r="F13" s="535">
        <v>1011.1601057200002</v>
      </c>
      <c r="G13" s="535">
        <v>965.3601638699995</v>
      </c>
      <c r="H13" s="545">
        <v>892.60002607000104</v>
      </c>
      <c r="I13" s="545">
        <v>867.35167760999889</v>
      </c>
      <c r="J13" s="545">
        <v>790.49038842000073</v>
      </c>
      <c r="K13" s="910">
        <v>782.58494225999959</v>
      </c>
      <c r="L13" s="546">
        <v>759.11511202000031</v>
      </c>
      <c r="N13" s="91"/>
      <c r="O13" s="795"/>
    </row>
    <row r="14" spans="1:17" s="25" customFormat="1" ht="22.5" customHeight="1" x14ac:dyDescent="0.45">
      <c r="B14" s="560" t="s">
        <v>451</v>
      </c>
      <c r="C14" s="535">
        <v>171.37085943000079</v>
      </c>
      <c r="D14" s="535">
        <v>169.55716421999909</v>
      </c>
      <c r="E14" s="545">
        <v>144.69391313000028</v>
      </c>
      <c r="F14" s="535">
        <v>150.89928859999998</v>
      </c>
      <c r="G14" s="535">
        <v>143.80871471000046</v>
      </c>
      <c r="H14" s="545">
        <v>142.88848815999893</v>
      </c>
      <c r="I14" s="545">
        <v>138.70245858000101</v>
      </c>
      <c r="J14" s="545">
        <v>131.81955372999926</v>
      </c>
      <c r="K14" s="910">
        <v>128.94487188000039</v>
      </c>
      <c r="L14" s="546">
        <v>127.87853378999966</v>
      </c>
      <c r="N14" s="91"/>
      <c r="O14" s="760"/>
    </row>
    <row r="15" spans="1:17" s="25" customFormat="1" ht="22.5" customHeight="1" x14ac:dyDescent="0.45">
      <c r="B15" s="540" t="s">
        <v>101</v>
      </c>
      <c r="C15" s="534">
        <v>6756.4819082599997</v>
      </c>
      <c r="D15" s="534">
        <v>6518.34613446</v>
      </c>
      <c r="E15" s="541">
        <v>6475.3956019699999</v>
      </c>
      <c r="F15" s="534">
        <v>6453.7158388899998</v>
      </c>
      <c r="G15" s="534">
        <v>6424.8504618399993</v>
      </c>
      <c r="H15" s="541">
        <v>6419.8970501899994</v>
      </c>
      <c r="I15" s="541">
        <v>6420.6904380799997</v>
      </c>
      <c r="J15" s="541">
        <v>6304.4755633800005</v>
      </c>
      <c r="K15" s="815">
        <v>6251.3679509099993</v>
      </c>
      <c r="L15" s="542">
        <v>6274.40029125</v>
      </c>
      <c r="N15" s="91"/>
      <c r="O15" s="794"/>
    </row>
    <row r="16" spans="1:17" s="25" customFormat="1" ht="22.5" customHeight="1" x14ac:dyDescent="0.45">
      <c r="B16" s="544" t="s">
        <v>89</v>
      </c>
      <c r="C16" s="535">
        <v>4494.7538112299999</v>
      </c>
      <c r="D16" s="535">
        <v>4455.5179153199997</v>
      </c>
      <c r="E16" s="545">
        <v>4424.7336493299999</v>
      </c>
      <c r="F16" s="535">
        <v>4431.0861395699994</v>
      </c>
      <c r="G16" s="535">
        <v>4471.78187256</v>
      </c>
      <c r="H16" s="545">
        <v>4602.3476285699999</v>
      </c>
      <c r="I16" s="545">
        <v>4555.1831887799999</v>
      </c>
      <c r="J16" s="545">
        <v>4550.3185505500005</v>
      </c>
      <c r="K16" s="910">
        <v>4425.80173483</v>
      </c>
      <c r="L16" s="546">
        <v>4561.7634293599995</v>
      </c>
      <c r="N16" s="91"/>
      <c r="O16" s="761"/>
    </row>
    <row r="17" spans="2:20" s="25" customFormat="1" ht="22.5" customHeight="1" x14ac:dyDescent="0.45">
      <c r="B17" s="544" t="s">
        <v>90</v>
      </c>
      <c r="C17" s="535">
        <v>1600.5626412199999</v>
      </c>
      <c r="D17" s="535">
        <v>1544.21900231</v>
      </c>
      <c r="E17" s="545">
        <v>1513.8301326800001</v>
      </c>
      <c r="F17" s="535">
        <v>1514.14759596</v>
      </c>
      <c r="G17" s="535">
        <v>1436.0803217600001</v>
      </c>
      <c r="H17" s="545">
        <v>1281.60644471</v>
      </c>
      <c r="I17" s="545">
        <v>1318.4221936700001</v>
      </c>
      <c r="J17" s="545">
        <v>1305.1338567400001</v>
      </c>
      <c r="K17" s="910">
        <v>1357.6292071199998</v>
      </c>
      <c r="L17" s="546">
        <v>1236.1824205999999</v>
      </c>
      <c r="N17" s="92"/>
      <c r="O17" s="761"/>
    </row>
    <row r="18" spans="2:20" s="25" customFormat="1" ht="22.5" customHeight="1" x14ac:dyDescent="0.45">
      <c r="B18" s="560" t="s">
        <v>452</v>
      </c>
      <c r="C18" s="535">
        <v>397.31858242999988</v>
      </c>
      <c r="D18" s="535">
        <v>256.90012403000009</v>
      </c>
      <c r="E18" s="545">
        <v>278.92382209999994</v>
      </c>
      <c r="F18" s="535">
        <v>250.86878684000004</v>
      </c>
      <c r="G18" s="535">
        <v>263.76310561000003</v>
      </c>
      <c r="H18" s="545">
        <v>287.35614193000004</v>
      </c>
      <c r="I18" s="545">
        <v>300.77074230000011</v>
      </c>
      <c r="J18" s="545">
        <v>207.13772509999976</v>
      </c>
      <c r="K18" s="910">
        <v>231.37460118999977</v>
      </c>
      <c r="L18" s="546">
        <v>242.77230908999991</v>
      </c>
      <c r="N18" s="91"/>
      <c r="O18" s="760"/>
    </row>
    <row r="19" spans="2:20" s="25" customFormat="1" ht="22.5" customHeight="1" x14ac:dyDescent="0.45">
      <c r="B19" s="560" t="s">
        <v>451</v>
      </c>
      <c r="C19" s="535">
        <v>263.84687338000003</v>
      </c>
      <c r="D19" s="535">
        <v>261.70909279999995</v>
      </c>
      <c r="E19" s="545">
        <v>257.90799786000014</v>
      </c>
      <c r="F19" s="535">
        <v>257.61331651999996</v>
      </c>
      <c r="G19" s="535">
        <v>253.22516191</v>
      </c>
      <c r="H19" s="545">
        <v>248.58683497999994</v>
      </c>
      <c r="I19" s="545">
        <v>246.31431332999983</v>
      </c>
      <c r="J19" s="545">
        <v>241.88543099000029</v>
      </c>
      <c r="K19" s="910">
        <v>236.56240777000025</v>
      </c>
      <c r="L19" s="546">
        <v>233.68213220000007</v>
      </c>
      <c r="N19" s="91"/>
      <c r="O19" s="760"/>
    </row>
    <row r="20" spans="2:20" s="25" customFormat="1" ht="22.5" customHeight="1" x14ac:dyDescent="0.45">
      <c r="B20" s="540" t="s">
        <v>121</v>
      </c>
      <c r="C20" s="534">
        <v>1875.52845314</v>
      </c>
      <c r="D20" s="534">
        <v>1751.83663368</v>
      </c>
      <c r="E20" s="541">
        <v>1781.2178743100001</v>
      </c>
      <c r="F20" s="534">
        <v>1661.0325663599999</v>
      </c>
      <c r="G20" s="534">
        <v>1668.6362920800002</v>
      </c>
      <c r="H20" s="541">
        <v>1718.3245323199999</v>
      </c>
      <c r="I20" s="541">
        <v>1754.77974571</v>
      </c>
      <c r="J20" s="541">
        <v>1794.6513429799998</v>
      </c>
      <c r="K20" s="815">
        <v>1776.67305698</v>
      </c>
      <c r="L20" s="542">
        <v>1840.7506638300001</v>
      </c>
      <c r="N20" s="91"/>
      <c r="O20" s="760"/>
    </row>
    <row r="21" spans="2:20" s="25" customFormat="1" ht="22.5" customHeight="1" x14ac:dyDescent="0.45">
      <c r="B21" s="544" t="s">
        <v>89</v>
      </c>
      <c r="C21" s="535">
        <v>1207.80175927</v>
      </c>
      <c r="D21" s="535">
        <v>1243.88013501</v>
      </c>
      <c r="E21" s="545">
        <v>1276.21293466</v>
      </c>
      <c r="F21" s="535">
        <v>1225.54324655</v>
      </c>
      <c r="G21" s="535">
        <v>1206.86784354</v>
      </c>
      <c r="H21" s="545">
        <v>1265.06172436</v>
      </c>
      <c r="I21" s="545">
        <v>1328.75462922</v>
      </c>
      <c r="J21" s="545">
        <v>1388.56498278</v>
      </c>
      <c r="K21" s="910">
        <v>1352.2713038500001</v>
      </c>
      <c r="L21" s="546">
        <v>1474.1152585600003</v>
      </c>
      <c r="N21" s="91"/>
      <c r="O21" s="761"/>
    </row>
    <row r="22" spans="2:20" s="25" customFormat="1" ht="22.5" customHeight="1" x14ac:dyDescent="0.45">
      <c r="B22" s="544" t="s">
        <v>90</v>
      </c>
      <c r="C22" s="535">
        <v>344.71123091999999</v>
      </c>
      <c r="D22" s="535">
        <v>325.81061890000001</v>
      </c>
      <c r="E22" s="545">
        <v>314.12507239000001</v>
      </c>
      <c r="F22" s="535">
        <v>320.8381468</v>
      </c>
      <c r="G22" s="535">
        <v>342.59777213000001</v>
      </c>
      <c r="H22" s="545">
        <v>325.89311838000003</v>
      </c>
      <c r="I22" s="545">
        <v>290.03334403000002</v>
      </c>
      <c r="J22" s="545">
        <v>294.60858523000002</v>
      </c>
      <c r="K22" s="910">
        <v>301.56070090999998</v>
      </c>
      <c r="L22" s="546">
        <v>238.24711989000002</v>
      </c>
      <c r="N22" s="91"/>
      <c r="O22" s="761"/>
    </row>
    <row r="23" spans="2:20" s="25" customFormat="1" ht="22.5" customHeight="1" x14ac:dyDescent="0.45">
      <c r="B23" s="560" t="s">
        <v>452</v>
      </c>
      <c r="C23" s="535">
        <v>270.15212166999987</v>
      </c>
      <c r="D23" s="535">
        <v>131.17672092999976</v>
      </c>
      <c r="E23" s="545">
        <v>141.38426670999996</v>
      </c>
      <c r="F23" s="535">
        <v>67.058541560000108</v>
      </c>
      <c r="G23" s="535">
        <v>73.282378920000014</v>
      </c>
      <c r="H23" s="545">
        <v>83.310257430000007</v>
      </c>
      <c r="I23" s="545">
        <v>93.471616549999965</v>
      </c>
      <c r="J23" s="545">
        <v>70.115875700000004</v>
      </c>
      <c r="K23" s="910">
        <v>82.936679249999969</v>
      </c>
      <c r="L23" s="546">
        <v>90.077340829999955</v>
      </c>
      <c r="N23" s="91"/>
      <c r="O23" s="760"/>
    </row>
    <row r="24" spans="2:20" s="25" customFormat="1" ht="22.5" customHeight="1" x14ac:dyDescent="0.45">
      <c r="B24" s="560" t="s">
        <v>451</v>
      </c>
      <c r="C24" s="535">
        <v>52.863341280000157</v>
      </c>
      <c r="D24" s="535">
        <v>50.969158840000262</v>
      </c>
      <c r="E24" s="545">
        <v>49.495600550000034</v>
      </c>
      <c r="F24" s="535">
        <v>47.592631449999885</v>
      </c>
      <c r="G24" s="535">
        <v>45.888297489999985</v>
      </c>
      <c r="H24" s="545">
        <v>44.059432149999992</v>
      </c>
      <c r="I24" s="545">
        <v>42.520155910000028</v>
      </c>
      <c r="J24" s="545">
        <v>41.361899269999981</v>
      </c>
      <c r="K24" s="910">
        <v>39.904372970000026</v>
      </c>
      <c r="L24" s="546">
        <v>38.310944550000059</v>
      </c>
      <c r="N24" s="91"/>
      <c r="O24" s="792"/>
    </row>
    <row r="25" spans="2:20" s="25" customFormat="1" ht="22.5" customHeight="1" x14ac:dyDescent="0.4">
      <c r="B25" s="540" t="s">
        <v>102</v>
      </c>
      <c r="C25" s="534">
        <v>36761.302651340004</v>
      </c>
      <c r="D25" s="534">
        <v>36924.800725870002</v>
      </c>
      <c r="E25" s="541">
        <v>37235.0159155</v>
      </c>
      <c r="F25" s="534">
        <v>38345.619150489998</v>
      </c>
      <c r="G25" s="534">
        <v>37147.893566459999</v>
      </c>
      <c r="H25" s="541">
        <v>38348.090472169999</v>
      </c>
      <c r="I25" s="541">
        <v>38985.648102250001</v>
      </c>
      <c r="J25" s="541">
        <v>41375.411905560002</v>
      </c>
      <c r="K25" s="815">
        <v>42051.721792260003</v>
      </c>
      <c r="L25" s="542">
        <v>42336.392547250005</v>
      </c>
      <c r="N25" s="709"/>
      <c r="O25" s="709"/>
      <c r="P25" s="53"/>
      <c r="R25" s="79"/>
      <c r="T25" s="53"/>
    </row>
    <row r="26" spans="2:20" s="25" customFormat="1" ht="22.5" customHeight="1" x14ac:dyDescent="0.4">
      <c r="B26" s="544" t="s">
        <v>89</v>
      </c>
      <c r="C26" s="535">
        <v>30128.903794139998</v>
      </c>
      <c r="D26" s="535">
        <v>30763.85576554</v>
      </c>
      <c r="E26" s="545">
        <v>31432.889218550001</v>
      </c>
      <c r="F26" s="535">
        <v>33214.895753149998</v>
      </c>
      <c r="G26" s="535">
        <v>32129.327107009998</v>
      </c>
      <c r="H26" s="545">
        <v>33613.547023300001</v>
      </c>
      <c r="I26" s="545">
        <v>34482.228474980002</v>
      </c>
      <c r="J26" s="545">
        <v>37165.698959190006</v>
      </c>
      <c r="K26" s="910">
        <v>37882.316378030002</v>
      </c>
      <c r="L26" s="546">
        <v>38491.046078410007</v>
      </c>
      <c r="N26" s="709"/>
      <c r="O26" s="709"/>
      <c r="P26" s="53"/>
      <c r="R26" s="79"/>
      <c r="T26" s="53"/>
    </row>
    <row r="27" spans="2:20" s="25" customFormat="1" ht="22.5" customHeight="1" x14ac:dyDescent="0.45">
      <c r="B27" s="544" t="s">
        <v>90</v>
      </c>
      <c r="C27" s="535">
        <v>3759.6148320300003</v>
      </c>
      <c r="D27" s="535">
        <v>3687.35257942</v>
      </c>
      <c r="E27" s="545">
        <v>3361.9285209099999</v>
      </c>
      <c r="F27" s="535">
        <v>3345.53072664</v>
      </c>
      <c r="G27" s="535">
        <v>3273.2386369400001</v>
      </c>
      <c r="H27" s="545">
        <v>3035.7422681599996</v>
      </c>
      <c r="I27" s="545">
        <v>2814.2886629899999</v>
      </c>
      <c r="J27" s="545">
        <v>2726.90207315</v>
      </c>
      <c r="K27" s="910">
        <v>2667.0975389200003</v>
      </c>
      <c r="L27" s="546">
        <v>2353.5100963499999</v>
      </c>
      <c r="M27" s="49"/>
      <c r="N27" s="91"/>
      <c r="O27" s="793"/>
      <c r="P27" s="79"/>
      <c r="R27" s="79"/>
      <c r="T27" s="53"/>
    </row>
    <row r="28" spans="2:20" s="25" customFormat="1" ht="22.5" customHeight="1" x14ac:dyDescent="0.4">
      <c r="B28" s="560" t="s">
        <v>452</v>
      </c>
      <c r="C28" s="535">
        <v>2384.7029510899988</v>
      </c>
      <c r="D28" s="535">
        <v>1991.3569650600007</v>
      </c>
      <c r="E28" s="545">
        <v>1988.1006645</v>
      </c>
      <c r="F28" s="535">
        <v>1329.0874341200004</v>
      </c>
      <c r="G28" s="535">
        <v>1302.4056483999996</v>
      </c>
      <c r="H28" s="545">
        <v>1263.2664254300012</v>
      </c>
      <c r="I28" s="545">
        <v>1261.594036459999</v>
      </c>
      <c r="J28" s="545">
        <v>1067.7439892200005</v>
      </c>
      <c r="K28" s="910">
        <v>1096.8962226999993</v>
      </c>
      <c r="L28" s="546">
        <v>1091.9647619400002</v>
      </c>
      <c r="M28" s="49"/>
      <c r="N28" s="545"/>
      <c r="O28" s="545"/>
      <c r="P28" s="79"/>
      <c r="Q28" s="708"/>
      <c r="R28" s="79"/>
      <c r="T28" s="53"/>
    </row>
    <row r="29" spans="2:20" s="25" customFormat="1" ht="22.5" customHeight="1" x14ac:dyDescent="0.45">
      <c r="B29" s="572" t="s">
        <v>451</v>
      </c>
      <c r="C29" s="573">
        <v>488.08107408000114</v>
      </c>
      <c r="D29" s="573">
        <v>482.2354158499993</v>
      </c>
      <c r="E29" s="574">
        <v>452.09751153999991</v>
      </c>
      <c r="F29" s="573">
        <v>456.10523657999966</v>
      </c>
      <c r="G29" s="573">
        <v>442.92217411000024</v>
      </c>
      <c r="H29" s="574">
        <v>435.53475527999876</v>
      </c>
      <c r="I29" s="574">
        <v>427.53692782000121</v>
      </c>
      <c r="J29" s="574">
        <v>415.06688399999962</v>
      </c>
      <c r="K29" s="911">
        <v>405.4116526100006</v>
      </c>
      <c r="L29" s="575">
        <v>399.87161054999979</v>
      </c>
      <c r="N29" s="91"/>
      <c r="O29" s="792"/>
      <c r="P29" s="79"/>
      <c r="R29" s="79"/>
      <c r="T29" s="53"/>
    </row>
    <row r="30" spans="2:20" s="26" customFormat="1" ht="8.25" customHeight="1" x14ac:dyDescent="0.45">
      <c r="B30" s="557"/>
      <c r="C30" s="567"/>
      <c r="D30" s="567"/>
      <c r="E30" s="567"/>
      <c r="F30" s="567"/>
      <c r="G30" s="567"/>
      <c r="H30" s="567"/>
      <c r="I30" s="567"/>
      <c r="J30" s="567"/>
      <c r="K30" s="567"/>
      <c r="L30" s="558"/>
      <c r="N30" s="89"/>
      <c r="O30" s="89"/>
    </row>
    <row r="31" spans="2:20" s="19" customFormat="1" ht="22.5" customHeight="1" x14ac:dyDescent="0.25">
      <c r="B31" s="537" t="s">
        <v>103</v>
      </c>
      <c r="C31" s="538">
        <v>45016</v>
      </c>
      <c r="D31" s="538">
        <v>45107</v>
      </c>
      <c r="E31" s="538">
        <v>45199</v>
      </c>
      <c r="F31" s="538">
        <v>45291</v>
      </c>
      <c r="G31" s="538">
        <v>45382</v>
      </c>
      <c r="H31" s="538">
        <v>45473</v>
      </c>
      <c r="I31" s="538">
        <v>45565</v>
      </c>
      <c r="J31" s="538">
        <v>45657</v>
      </c>
      <c r="K31" s="551">
        <v>45747</v>
      </c>
      <c r="L31" s="539">
        <v>45838</v>
      </c>
      <c r="N31" s="93"/>
      <c r="O31" s="93"/>
    </row>
    <row r="32" spans="2:20" ht="22.5" customHeight="1" x14ac:dyDescent="0.45">
      <c r="B32" s="540" t="s">
        <v>292</v>
      </c>
      <c r="C32" s="534">
        <v>1049.1559046612622</v>
      </c>
      <c r="D32" s="534">
        <v>989.02409750153788</v>
      </c>
      <c r="E32" s="541">
        <v>986.92921446999992</v>
      </c>
      <c r="F32" s="534">
        <v>697.33245598714404</v>
      </c>
      <c r="G32" s="534">
        <v>656.76279616117142</v>
      </c>
      <c r="H32" s="541">
        <v>608.97681281408836</v>
      </c>
      <c r="I32" s="541">
        <v>621.88808340111132</v>
      </c>
      <c r="J32" s="541">
        <v>565.20967125000004</v>
      </c>
      <c r="K32" s="815">
        <v>556.89478656055894</v>
      </c>
      <c r="L32" s="542">
        <v>542.77385984999989</v>
      </c>
      <c r="N32" s="95"/>
      <c r="O32" s="95"/>
      <c r="P32" s="80"/>
    </row>
    <row r="33" spans="2:17" ht="22.5" customHeight="1" x14ac:dyDescent="0.45">
      <c r="B33" s="544" t="s">
        <v>89</v>
      </c>
      <c r="C33" s="535">
        <v>32.978039007195953</v>
      </c>
      <c r="D33" s="535">
        <v>37.926002154881957</v>
      </c>
      <c r="E33" s="545">
        <v>41.861538460000006</v>
      </c>
      <c r="F33" s="535">
        <v>35.630178822077404</v>
      </c>
      <c r="G33" s="535">
        <v>36.540559500023313</v>
      </c>
      <c r="H33" s="545">
        <v>36.273413500163279</v>
      </c>
      <c r="I33" s="545">
        <v>33.501330781585338</v>
      </c>
      <c r="J33" s="545">
        <v>37.031325369999998</v>
      </c>
      <c r="K33" s="910">
        <v>36.521238752225273</v>
      </c>
      <c r="L33" s="546">
        <v>34.181134569999998</v>
      </c>
      <c r="N33" s="94"/>
      <c r="O33" s="95"/>
    </row>
    <row r="34" spans="2:17" ht="22.5" customHeight="1" x14ac:dyDescent="0.45">
      <c r="B34" s="544" t="s">
        <v>90</v>
      </c>
      <c r="C34" s="535">
        <v>75.736577099789329</v>
      </c>
      <c r="D34" s="535">
        <v>71.298873762228112</v>
      </c>
      <c r="E34" s="545">
        <v>60.825876800000003</v>
      </c>
      <c r="F34" s="535">
        <v>61.292396564367159</v>
      </c>
      <c r="G34" s="535">
        <v>58.99289500780845</v>
      </c>
      <c r="H34" s="545">
        <v>58.760437376691975</v>
      </c>
      <c r="I34" s="545">
        <v>52.029095269303888</v>
      </c>
      <c r="J34" s="545">
        <v>40.13089548</v>
      </c>
      <c r="K34" s="910">
        <v>43.188801766555841</v>
      </c>
      <c r="L34" s="546">
        <v>42.741966060000003</v>
      </c>
      <c r="N34" s="94"/>
      <c r="O34" s="95"/>
    </row>
    <row r="35" spans="2:17" ht="22.5" customHeight="1" x14ac:dyDescent="0.45">
      <c r="B35" s="560" t="s">
        <v>452</v>
      </c>
      <c r="C35" s="535">
        <v>935.93021167999973</v>
      </c>
      <c r="D35" s="535">
        <v>876.38278997000009</v>
      </c>
      <c r="E35" s="545">
        <v>881.33502361000012</v>
      </c>
      <c r="F35" s="535">
        <v>596.69077658000003</v>
      </c>
      <c r="G35" s="535">
        <v>557.49816675</v>
      </c>
      <c r="H35" s="545">
        <v>510.0093169000001</v>
      </c>
      <c r="I35" s="545">
        <v>532.84122085999979</v>
      </c>
      <c r="J35" s="545">
        <v>484.80294848999978</v>
      </c>
      <c r="K35" s="910">
        <v>474.20578319000009</v>
      </c>
      <c r="L35" s="546">
        <v>462.87727217000003</v>
      </c>
      <c r="N35" s="95"/>
      <c r="O35" s="95"/>
    </row>
    <row r="36" spans="2:17" ht="22.5" customHeight="1" x14ac:dyDescent="0.45">
      <c r="B36" s="560" t="s">
        <v>451</v>
      </c>
      <c r="C36" s="535">
        <v>4.511076874277137</v>
      </c>
      <c r="D36" s="535">
        <v>3.4164316144277791</v>
      </c>
      <c r="E36" s="545">
        <v>2.9067755999998326</v>
      </c>
      <c r="F36" s="535">
        <v>3.719104020699433</v>
      </c>
      <c r="G36" s="535">
        <v>3.7311749033397064</v>
      </c>
      <c r="H36" s="545">
        <v>3.9336450372330205</v>
      </c>
      <c r="I36" s="545">
        <v>3.5164364902223042</v>
      </c>
      <c r="J36" s="545">
        <v>3.2445019100002241</v>
      </c>
      <c r="K36" s="910">
        <v>2.9789628517777942</v>
      </c>
      <c r="L36" s="546">
        <v>2.9734870499999033</v>
      </c>
      <c r="N36" s="94"/>
      <c r="O36" s="95"/>
    </row>
    <row r="37" spans="2:17" ht="22.5" customHeight="1" x14ac:dyDescent="0.45">
      <c r="B37" s="540" t="s">
        <v>101</v>
      </c>
      <c r="C37" s="534">
        <v>89.259121999929746</v>
      </c>
      <c r="D37" s="534">
        <v>47.792738938082778</v>
      </c>
      <c r="E37" s="541">
        <v>50.083827849999999</v>
      </c>
      <c r="F37" s="534">
        <v>42.180639079449975</v>
      </c>
      <c r="G37" s="534">
        <v>43.512418448261407</v>
      </c>
      <c r="H37" s="541">
        <v>45.713071716575044</v>
      </c>
      <c r="I37" s="541">
        <v>55.936792924692583</v>
      </c>
      <c r="J37" s="541">
        <v>42.512353660000002</v>
      </c>
      <c r="K37" s="815">
        <v>54.841405017930256</v>
      </c>
      <c r="L37" s="542">
        <v>98.731506039999999</v>
      </c>
      <c r="N37" s="800"/>
      <c r="O37" s="800"/>
    </row>
    <row r="38" spans="2:17" ht="22.5" customHeight="1" x14ac:dyDescent="0.45">
      <c r="B38" s="544" t="s">
        <v>89</v>
      </c>
      <c r="C38" s="535">
        <v>3.1882162810238359</v>
      </c>
      <c r="D38" s="535">
        <v>2.9999968909247956</v>
      </c>
      <c r="E38" s="545">
        <v>3.1731554500000003</v>
      </c>
      <c r="F38" s="535">
        <v>3.3848934419116845</v>
      </c>
      <c r="G38" s="535">
        <v>3.7714287799899191</v>
      </c>
      <c r="H38" s="545">
        <v>3.9362500060422776</v>
      </c>
      <c r="I38" s="545">
        <v>5.2495501090331018</v>
      </c>
      <c r="J38" s="545">
        <v>5.2865793499999993</v>
      </c>
      <c r="K38" s="910">
        <v>5.1514390550460734</v>
      </c>
      <c r="L38" s="546">
        <v>23.938354639999996</v>
      </c>
      <c r="N38" s="800"/>
      <c r="O38" s="800"/>
      <c r="Q38" s="930"/>
    </row>
    <row r="39" spans="2:17" ht="22.5" customHeight="1" x14ac:dyDescent="0.45">
      <c r="B39" s="544" t="s">
        <v>90</v>
      </c>
      <c r="C39" s="535">
        <v>20.47533581058352</v>
      </c>
      <c r="D39" s="535">
        <v>15.575400612422969</v>
      </c>
      <c r="E39" s="545">
        <v>15.2937306</v>
      </c>
      <c r="F39" s="535">
        <v>15.327434954268588</v>
      </c>
      <c r="G39" s="535">
        <v>14.37039238424088</v>
      </c>
      <c r="H39" s="545">
        <v>12.8732856076735</v>
      </c>
      <c r="I39" s="545">
        <v>12.65448557465476</v>
      </c>
      <c r="J39" s="545">
        <v>11.10734849</v>
      </c>
      <c r="K39" s="910">
        <v>19.844733557783005</v>
      </c>
      <c r="L39" s="546">
        <v>36.385525269999995</v>
      </c>
      <c r="N39" s="800"/>
      <c r="O39" s="800"/>
      <c r="Q39" s="929"/>
    </row>
    <row r="40" spans="2:17" ht="22.5" customHeight="1" x14ac:dyDescent="0.45">
      <c r="B40" s="560" t="s">
        <v>452</v>
      </c>
      <c r="C40" s="535">
        <v>63.124150859999993</v>
      </c>
      <c r="D40" s="535">
        <v>27.246468229999998</v>
      </c>
      <c r="E40" s="545">
        <v>29.402010930000003</v>
      </c>
      <c r="F40" s="535">
        <v>21.274813609999999</v>
      </c>
      <c r="G40" s="535">
        <v>23.039533780000003</v>
      </c>
      <c r="H40" s="545">
        <v>26.8675119</v>
      </c>
      <c r="I40" s="545">
        <v>35.853327979999996</v>
      </c>
      <c r="J40" s="545">
        <v>24.172251589999998</v>
      </c>
      <c r="K40" s="910">
        <v>28.436497849999995</v>
      </c>
      <c r="L40" s="546">
        <v>33.15088961</v>
      </c>
      <c r="N40" s="800"/>
      <c r="O40" s="800"/>
      <c r="Q40" s="929"/>
    </row>
    <row r="41" spans="2:17" ht="22.5" customHeight="1" x14ac:dyDescent="0.45">
      <c r="B41" s="560" t="s">
        <v>451</v>
      </c>
      <c r="C41" s="535">
        <v>2.4714190483224101</v>
      </c>
      <c r="D41" s="535">
        <v>1.9708732047350139</v>
      </c>
      <c r="E41" s="545">
        <v>2.2149308699999963</v>
      </c>
      <c r="F41" s="535">
        <v>2.1934970732697039</v>
      </c>
      <c r="G41" s="535">
        <v>2.331063504030606</v>
      </c>
      <c r="H41" s="545">
        <v>2.036024202859263</v>
      </c>
      <c r="I41" s="545">
        <v>2.1794292610047279</v>
      </c>
      <c r="J41" s="545">
        <v>1.9461742300000004</v>
      </c>
      <c r="K41" s="910">
        <v>1.4087345551011836</v>
      </c>
      <c r="L41" s="546">
        <v>5.256736520000004</v>
      </c>
      <c r="N41" s="800"/>
      <c r="O41" s="800"/>
    </row>
    <row r="42" spans="2:17" ht="22.5" customHeight="1" x14ac:dyDescent="0.45">
      <c r="B42" s="540" t="s">
        <v>121</v>
      </c>
      <c r="C42" s="534">
        <v>210.50448348320947</v>
      </c>
      <c r="D42" s="534">
        <v>116.178884367477</v>
      </c>
      <c r="E42" s="541">
        <v>123.69489335999998</v>
      </c>
      <c r="F42" s="534">
        <v>79.444530467009145</v>
      </c>
      <c r="G42" s="534">
        <v>83.5766080267787</v>
      </c>
      <c r="H42" s="541">
        <v>88.190032027026561</v>
      </c>
      <c r="I42" s="541">
        <v>96.279492336131071</v>
      </c>
      <c r="J42" s="541">
        <v>83.134338659999997</v>
      </c>
      <c r="K42" s="815">
        <v>92.698054589926699</v>
      </c>
      <c r="L42" s="542">
        <v>95.049417260000013</v>
      </c>
      <c r="N42" s="95"/>
      <c r="O42" s="95"/>
    </row>
    <row r="43" spans="2:17" ht="22.5" customHeight="1" x14ac:dyDescent="0.45">
      <c r="B43" s="544" t="s">
        <v>89</v>
      </c>
      <c r="C43" s="535">
        <v>6.0629285036833211</v>
      </c>
      <c r="D43" s="535">
        <v>6.3834839179913612</v>
      </c>
      <c r="E43" s="545">
        <v>7.5737296300000008</v>
      </c>
      <c r="F43" s="535">
        <v>8.9273963700051659</v>
      </c>
      <c r="G43" s="535">
        <v>8.7372009789565848</v>
      </c>
      <c r="H43" s="545">
        <v>9.0213832938005059</v>
      </c>
      <c r="I43" s="545">
        <v>8.6260988341030025</v>
      </c>
      <c r="J43" s="545">
        <v>9.5711714199999989</v>
      </c>
      <c r="K43" s="910">
        <v>9.6882259353320013</v>
      </c>
      <c r="L43" s="546">
        <v>9.94384655</v>
      </c>
      <c r="N43" s="94"/>
      <c r="O43" s="95"/>
    </row>
    <row r="44" spans="2:17" ht="22.5" customHeight="1" x14ac:dyDescent="0.45">
      <c r="B44" s="544" t="s">
        <v>90</v>
      </c>
      <c r="C44" s="535">
        <v>30.137915338594468</v>
      </c>
      <c r="D44" s="535">
        <v>26.123862967260816</v>
      </c>
      <c r="E44" s="545">
        <v>25.733593479999996</v>
      </c>
      <c r="F44" s="535">
        <v>28.911986608826044</v>
      </c>
      <c r="G44" s="535">
        <v>31.167146103113495</v>
      </c>
      <c r="H44" s="545">
        <v>29.773923200987173</v>
      </c>
      <c r="I44" s="545">
        <v>29.98218192274879</v>
      </c>
      <c r="J44" s="545">
        <v>27.2077338</v>
      </c>
      <c r="K44" s="910">
        <v>29.3481379560615</v>
      </c>
      <c r="L44" s="546">
        <v>23.279479800000001</v>
      </c>
      <c r="N44" s="94"/>
      <c r="O44" s="95"/>
    </row>
    <row r="45" spans="2:17" ht="22.5" customHeight="1" x14ac:dyDescent="0.45">
      <c r="B45" s="560" t="s">
        <v>452</v>
      </c>
      <c r="C45" s="535">
        <v>169.54797115000005</v>
      </c>
      <c r="D45" s="535">
        <v>79.397171010000065</v>
      </c>
      <c r="E45" s="545">
        <v>86.15487466999997</v>
      </c>
      <c r="F45" s="535">
        <v>37.284982490000019</v>
      </c>
      <c r="G45" s="535">
        <v>39.813407809999994</v>
      </c>
      <c r="H45" s="545">
        <v>45.805387109999991</v>
      </c>
      <c r="I45" s="545">
        <v>54.200532409999987</v>
      </c>
      <c r="J45" s="545">
        <v>43.193149389999981</v>
      </c>
      <c r="K45" s="910">
        <v>50.632030970000002</v>
      </c>
      <c r="L45" s="546">
        <v>59.333304890000008</v>
      </c>
      <c r="N45" s="94"/>
      <c r="O45" s="95"/>
    </row>
    <row r="46" spans="2:17" ht="22.5" customHeight="1" x14ac:dyDescent="0.45">
      <c r="B46" s="560" t="s">
        <v>451</v>
      </c>
      <c r="C46" s="535">
        <v>4.7556684909316402</v>
      </c>
      <c r="D46" s="535">
        <v>4.2743664722247559</v>
      </c>
      <c r="E46" s="545">
        <v>4.2326955800000263</v>
      </c>
      <c r="F46" s="535">
        <v>4.3201649981779227</v>
      </c>
      <c r="G46" s="535">
        <v>3.8588531347086246</v>
      </c>
      <c r="H46" s="545">
        <v>3.589338422238896</v>
      </c>
      <c r="I46" s="545">
        <v>3.4706791692793004</v>
      </c>
      <c r="J46" s="545">
        <v>3.162284050000018</v>
      </c>
      <c r="K46" s="910">
        <v>3.0296597285331899</v>
      </c>
      <c r="L46" s="546">
        <v>2.4927860199999969</v>
      </c>
      <c r="N46" s="94"/>
      <c r="O46" s="95"/>
    </row>
    <row r="47" spans="2:17" ht="22.5" customHeight="1" x14ac:dyDescent="0.45">
      <c r="B47" s="540" t="s">
        <v>102</v>
      </c>
      <c r="C47" s="534">
        <v>1348.9195101444013</v>
      </c>
      <c r="D47" s="534">
        <v>1152.9957208270978</v>
      </c>
      <c r="E47" s="541">
        <v>1160.7079356999998</v>
      </c>
      <c r="F47" s="534">
        <v>818.95762552360304</v>
      </c>
      <c r="G47" s="534">
        <v>783.85182262621163</v>
      </c>
      <c r="H47" s="541">
        <v>742.87991656769009</v>
      </c>
      <c r="I47" s="541">
        <v>774.10436867193494</v>
      </c>
      <c r="J47" s="541">
        <v>690.85636356999998</v>
      </c>
      <c r="K47" s="815">
        <v>704.43424618841595</v>
      </c>
      <c r="L47" s="542">
        <v>736.55478313999993</v>
      </c>
      <c r="N47" s="95"/>
      <c r="O47" s="95"/>
    </row>
    <row r="48" spans="2:17" ht="22.5" customHeight="1" x14ac:dyDescent="0.45">
      <c r="B48" s="544" t="s">
        <v>89</v>
      </c>
      <c r="C48" s="535">
        <v>42.229183781903117</v>
      </c>
      <c r="D48" s="535">
        <v>47.309482973798119</v>
      </c>
      <c r="E48" s="545">
        <v>52.608423540000004</v>
      </c>
      <c r="F48" s="535">
        <v>47.942468633994253</v>
      </c>
      <c r="G48" s="535">
        <v>49.049189248969803</v>
      </c>
      <c r="H48" s="545">
        <v>49.231046800006077</v>
      </c>
      <c r="I48" s="545">
        <v>47.376979724721444</v>
      </c>
      <c r="J48" s="545">
        <v>51.889076129999999</v>
      </c>
      <c r="K48" s="910">
        <v>51.360903752603349</v>
      </c>
      <c r="L48" s="546">
        <v>68.063335749999993</v>
      </c>
      <c r="N48" s="800"/>
      <c r="O48" s="800"/>
      <c r="P48" s="800"/>
      <c r="Q48" s="800"/>
    </row>
    <row r="49" spans="2:17" ht="22.5" customHeight="1" x14ac:dyDescent="0.45">
      <c r="B49" s="544" t="s">
        <v>90</v>
      </c>
      <c r="C49" s="535">
        <v>126.34982824896734</v>
      </c>
      <c r="D49" s="535">
        <v>112.99813735191189</v>
      </c>
      <c r="E49" s="545">
        <v>101.85320089</v>
      </c>
      <c r="F49" s="535">
        <v>105.53181812746178</v>
      </c>
      <c r="G49" s="535">
        <v>104.53043349516282</v>
      </c>
      <c r="H49" s="545">
        <v>101.40764619535264</v>
      </c>
      <c r="I49" s="545">
        <v>94.665762776707453</v>
      </c>
      <c r="J49" s="545">
        <v>78.445977769999999</v>
      </c>
      <c r="K49" s="910">
        <v>92.381673280400335</v>
      </c>
      <c r="L49" s="546">
        <v>102.40697113</v>
      </c>
      <c r="N49" s="800"/>
      <c r="O49" s="800"/>
      <c r="P49" s="800"/>
      <c r="Q49" s="800"/>
    </row>
    <row r="50" spans="2:17" ht="22.5" customHeight="1" x14ac:dyDescent="0.45">
      <c r="B50" s="560" t="s">
        <v>452</v>
      </c>
      <c r="C50" s="535">
        <v>1168.6023336899998</v>
      </c>
      <c r="D50" s="535">
        <v>983.02642921000006</v>
      </c>
      <c r="E50" s="545">
        <v>996.89190921000011</v>
      </c>
      <c r="F50" s="535">
        <v>655.25057268</v>
      </c>
      <c r="G50" s="535">
        <v>620.35110834</v>
      </c>
      <c r="H50" s="545">
        <v>582.6822159100002</v>
      </c>
      <c r="I50" s="545">
        <v>622.89508124999975</v>
      </c>
      <c r="J50" s="545">
        <v>552.16834946999984</v>
      </c>
      <c r="K50" s="910">
        <v>553.27431201000013</v>
      </c>
      <c r="L50" s="546">
        <v>555.36146667000003</v>
      </c>
      <c r="N50" s="800"/>
      <c r="O50" s="800"/>
      <c r="P50" s="800"/>
      <c r="Q50" s="800"/>
    </row>
    <row r="51" spans="2:17" ht="22.5" customHeight="1" x14ac:dyDescent="0.45">
      <c r="B51" s="572" t="s">
        <v>451</v>
      </c>
      <c r="C51" s="573">
        <v>11.738164423530861</v>
      </c>
      <c r="D51" s="573">
        <v>9.6616712913876199</v>
      </c>
      <c r="E51" s="574">
        <v>9.3544020599996429</v>
      </c>
      <c r="F51" s="573">
        <v>10.232766082147009</v>
      </c>
      <c r="G51" s="573">
        <v>9.9210915420790116</v>
      </c>
      <c r="H51" s="574">
        <v>9.5590076623311688</v>
      </c>
      <c r="I51" s="574">
        <v>9.1665449205062259</v>
      </c>
      <c r="J51" s="574">
        <v>8.3529602000000978</v>
      </c>
      <c r="K51" s="911">
        <v>7.4173571454120975</v>
      </c>
      <c r="L51" s="575">
        <v>10.723009589999833</v>
      </c>
      <c r="N51" s="800"/>
      <c r="O51" s="800"/>
    </row>
    <row r="52" spans="2:17" ht="15" customHeight="1" x14ac:dyDescent="0.45">
      <c r="B52" s="568"/>
      <c r="C52" s="569"/>
      <c r="D52" s="569"/>
      <c r="E52" s="569"/>
      <c r="F52" s="569"/>
      <c r="G52" s="569"/>
      <c r="H52" s="569"/>
      <c r="I52" s="569"/>
      <c r="J52" s="569"/>
      <c r="K52" s="569"/>
      <c r="L52" s="569"/>
      <c r="O52" s="95"/>
    </row>
    <row r="53" spans="2:17" ht="15" customHeight="1" x14ac:dyDescent="0.45">
      <c r="B53" s="121" t="s">
        <v>465</v>
      </c>
      <c r="C53" s="569"/>
      <c r="D53" s="569"/>
      <c r="E53" s="569"/>
      <c r="F53" s="569"/>
      <c r="G53" s="569"/>
      <c r="H53" s="569"/>
      <c r="I53" s="569"/>
      <c r="J53" s="569"/>
      <c r="K53" s="569"/>
      <c r="L53" s="569"/>
    </row>
    <row r="54" spans="2:17" ht="24.75" customHeight="1" x14ac:dyDescent="0.45">
      <c r="B54" s="950" t="s">
        <v>583</v>
      </c>
      <c r="C54" s="951"/>
      <c r="D54" s="951"/>
      <c r="E54" s="951"/>
      <c r="F54" s="951"/>
      <c r="G54" s="951"/>
      <c r="H54" s="951"/>
      <c r="I54" s="951"/>
      <c r="J54" s="951"/>
      <c r="K54"/>
      <c r="L54" s="569"/>
    </row>
    <row r="55" spans="2:17" ht="15" customHeight="1" x14ac:dyDescent="0.45">
      <c r="B55" s="568"/>
      <c r="C55" s="569"/>
      <c r="D55" s="569"/>
      <c r="E55" s="569"/>
      <c r="F55" s="569"/>
      <c r="G55" s="569"/>
      <c r="H55" s="569"/>
      <c r="I55" s="569"/>
      <c r="J55" s="569"/>
      <c r="K55" s="569"/>
      <c r="L55" s="569"/>
    </row>
    <row r="56" spans="2:17" ht="15" customHeight="1" x14ac:dyDescent="0.45">
      <c r="B56" s="570"/>
      <c r="C56" s="571"/>
      <c r="D56" s="571"/>
      <c r="E56" s="571"/>
      <c r="F56" s="571"/>
      <c r="G56" s="571"/>
      <c r="H56" s="571"/>
      <c r="I56" s="571"/>
      <c r="J56" s="571"/>
      <c r="K56" s="571"/>
      <c r="L56" s="571"/>
    </row>
  </sheetData>
  <mergeCells count="2">
    <mergeCell ref="B5:L5"/>
    <mergeCell ref="B54:J54"/>
  </mergeCells>
  <hyperlinks>
    <hyperlink ref="L2" location="'Cover '!A1" display="Back to Cover" xr:uid="{A03E5750-6E5F-42BD-A123-1328716236C3}"/>
  </hyperlinks>
  <pageMargins left="0.7" right="0.7" top="0.75" bottom="0.75" header="0.3" footer="0.3"/>
  <pageSetup scale="47"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ADBD6-8B84-4297-AD6B-29FEA0767081}">
  <sheetPr codeName="Foglio8">
    <pageSetUpPr fitToPage="1"/>
  </sheetPr>
  <dimension ref="A1:Q35"/>
  <sheetViews>
    <sheetView showGridLines="0" view="pageBreakPreview" zoomScale="80" zoomScaleNormal="85" zoomScaleSheetLayoutView="80" workbookViewId="0">
      <selection activeCell="B5" sqref="B5:L5"/>
    </sheetView>
  </sheetViews>
  <sheetFormatPr defaultColWidth="9.109375" defaultRowHeight="15" customHeight="1" x14ac:dyDescent="0.2"/>
  <cols>
    <col min="1" max="1" width="2.44140625" style="20" customWidth="1"/>
    <col min="2" max="2" width="35.5546875" style="20" customWidth="1"/>
    <col min="3" max="12" width="14.5546875" style="22" customWidth="1"/>
    <col min="13" max="13" width="2.44140625" style="20" customWidth="1"/>
    <col min="14" max="16384" width="9.109375" style="20"/>
  </cols>
  <sheetData>
    <row r="1" spans="1:17" s="23" customFormat="1" ht="15.75" customHeight="1" x14ac:dyDescent="0.4">
      <c r="B1" s="527"/>
      <c r="C1" s="527"/>
      <c r="D1" s="527"/>
      <c r="E1" s="527"/>
      <c r="F1" s="527"/>
      <c r="G1" s="527"/>
      <c r="H1" s="527"/>
      <c r="I1" s="527"/>
      <c r="J1" s="527"/>
      <c r="K1" s="527"/>
      <c r="L1" s="527"/>
    </row>
    <row r="2" spans="1:17" s="23" customFormat="1" ht="15.75" customHeight="1" x14ac:dyDescent="0.4">
      <c r="B2" s="527"/>
      <c r="C2" s="552"/>
      <c r="D2" s="552"/>
      <c r="E2" s="552"/>
      <c r="F2" s="552"/>
      <c r="G2" s="552"/>
      <c r="H2" s="552"/>
      <c r="I2" s="552"/>
      <c r="J2" s="552"/>
      <c r="K2" s="552"/>
      <c r="L2" s="528" t="s">
        <v>20</v>
      </c>
    </row>
    <row r="3" spans="1:17" s="23" customFormat="1" ht="15.75" customHeight="1" x14ac:dyDescent="0.4">
      <c r="B3" s="527"/>
      <c r="C3" s="527"/>
      <c r="D3" s="527"/>
      <c r="E3" s="527"/>
      <c r="F3" s="527"/>
      <c r="G3" s="527"/>
      <c r="H3" s="527"/>
      <c r="I3" s="527"/>
      <c r="J3" s="527"/>
      <c r="K3" s="527"/>
      <c r="L3" s="527"/>
    </row>
    <row r="4" spans="1:17" s="24" customFormat="1" ht="15.75" customHeight="1" x14ac:dyDescent="0.35">
      <c r="B4" s="529"/>
      <c r="C4" s="529"/>
      <c r="D4" s="529"/>
      <c r="E4" s="529"/>
      <c r="F4" s="529"/>
      <c r="G4" s="529"/>
      <c r="H4" s="529"/>
      <c r="I4" s="529"/>
      <c r="J4" s="529"/>
      <c r="K4" s="529"/>
      <c r="L4" s="529"/>
    </row>
    <row r="5" spans="1:17" ht="27.6" x14ac:dyDescent="0.2">
      <c r="A5" s="16"/>
      <c r="B5" s="937" t="s">
        <v>119</v>
      </c>
      <c r="C5" s="937"/>
      <c r="D5" s="937"/>
      <c r="E5" s="937"/>
      <c r="F5" s="937"/>
      <c r="G5" s="937"/>
      <c r="H5" s="937"/>
      <c r="I5" s="937"/>
      <c r="J5" s="937"/>
      <c r="K5" s="937"/>
      <c r="L5" s="937"/>
    </row>
    <row r="6" spans="1:17" ht="9" customHeight="1" x14ac:dyDescent="0.2">
      <c r="A6" s="16"/>
      <c r="B6" s="124"/>
      <c r="C6" s="124"/>
      <c r="D6" s="124"/>
      <c r="E6" s="124"/>
      <c r="F6" s="124"/>
      <c r="G6" s="124"/>
      <c r="H6" s="124"/>
      <c r="I6" s="124"/>
      <c r="J6" s="124"/>
      <c r="K6" s="124"/>
      <c r="L6" s="124"/>
    </row>
    <row r="7" spans="1:17" ht="11.25" customHeight="1" x14ac:dyDescent="0.2">
      <c r="A7" s="18"/>
      <c r="B7" s="484"/>
      <c r="C7" s="484"/>
      <c r="D7" s="484"/>
      <c r="E7" s="484"/>
      <c r="F7" s="484"/>
      <c r="G7" s="484"/>
      <c r="H7" s="484"/>
      <c r="I7" s="484"/>
      <c r="J7" s="484"/>
      <c r="K7" s="484"/>
      <c r="L7" s="484"/>
    </row>
    <row r="8" spans="1:17" s="23" customFormat="1" ht="11.25" customHeight="1" x14ac:dyDescent="0.4">
      <c r="B8" s="527"/>
      <c r="C8" s="530"/>
      <c r="D8" s="530"/>
      <c r="E8" s="530"/>
      <c r="F8" s="530"/>
      <c r="G8" s="530"/>
      <c r="H8" s="530"/>
      <c r="I8" s="530"/>
      <c r="J8" s="530"/>
      <c r="K8" s="530"/>
      <c r="L8" s="530"/>
    </row>
    <row r="9" spans="1:17" s="23" customFormat="1" ht="34.5" customHeight="1" x14ac:dyDescent="0.3">
      <c r="B9" s="580" t="s">
        <v>71</v>
      </c>
      <c r="C9" s="538" t="s">
        <v>182</v>
      </c>
      <c r="D9" s="538" t="s">
        <v>183</v>
      </c>
      <c r="E9" s="538" t="s">
        <v>191</v>
      </c>
      <c r="F9" s="538" t="s">
        <v>309</v>
      </c>
      <c r="G9" s="538" t="s">
        <v>317</v>
      </c>
      <c r="H9" s="538" t="s">
        <v>417</v>
      </c>
      <c r="I9" s="538" t="s">
        <v>471</v>
      </c>
      <c r="J9" s="538" t="s">
        <v>500</v>
      </c>
      <c r="K9" s="551" t="s">
        <v>560</v>
      </c>
      <c r="L9" s="539" t="s">
        <v>597</v>
      </c>
      <c r="Q9" s="67"/>
    </row>
    <row r="10" spans="1:17" s="25" customFormat="1" ht="20.25" customHeight="1" x14ac:dyDescent="0.4">
      <c r="B10" s="564"/>
      <c r="C10" s="534"/>
      <c r="D10" s="534"/>
      <c r="E10" s="541"/>
      <c r="F10" s="534"/>
      <c r="G10" s="534"/>
      <c r="H10" s="541"/>
      <c r="I10" s="541"/>
      <c r="J10" s="541"/>
      <c r="K10" s="815"/>
      <c r="L10" s="542"/>
      <c r="Q10" s="68"/>
    </row>
    <row r="11" spans="1:17" s="25" customFormat="1" ht="20.25" customHeight="1" x14ac:dyDescent="0.4">
      <c r="B11" s="565" t="s">
        <v>180</v>
      </c>
      <c r="C11" s="576">
        <v>2624.3162290799996</v>
      </c>
      <c r="D11" s="576">
        <v>2441.5529170199989</v>
      </c>
      <c r="E11" s="541">
        <v>2048.5796317300005</v>
      </c>
      <c r="F11" s="576">
        <v>2045.45625649</v>
      </c>
      <c r="G11" s="576">
        <f t="shared" ref="G11:L11" si="0">F28</f>
        <v>1329.3203579900003</v>
      </c>
      <c r="H11" s="541">
        <f t="shared" si="0"/>
        <v>1302.6423571399996</v>
      </c>
      <c r="I11" s="541">
        <f t="shared" si="0"/>
        <v>1263.5071478100012</v>
      </c>
      <c r="J11" s="541">
        <f t="shared" si="0"/>
        <v>1261.8381047699991</v>
      </c>
      <c r="K11" s="815">
        <f t="shared" si="0"/>
        <v>1067.9918054000004</v>
      </c>
      <c r="L11" s="581">
        <f t="shared" si="0"/>
        <v>1097.1468719499992</v>
      </c>
      <c r="Q11" s="68"/>
    </row>
    <row r="12" spans="1:17" s="25" customFormat="1" ht="20.25" customHeight="1" x14ac:dyDescent="0.4">
      <c r="B12" s="565"/>
      <c r="C12" s="577"/>
      <c r="D12" s="577"/>
      <c r="E12" s="582"/>
      <c r="F12" s="577"/>
      <c r="G12" s="577"/>
      <c r="H12" s="582"/>
      <c r="I12" s="582"/>
      <c r="J12" s="582"/>
      <c r="K12" s="912"/>
      <c r="L12" s="583"/>
      <c r="Q12" s="68"/>
    </row>
    <row r="13" spans="1:17" s="25" customFormat="1" ht="20.25" customHeight="1" x14ac:dyDescent="0.4">
      <c r="B13" s="584" t="s">
        <v>55</v>
      </c>
      <c r="C13" s="576">
        <v>34.39</v>
      </c>
      <c r="D13" s="576">
        <v>23.21</v>
      </c>
      <c r="E13" s="541">
        <v>18.59</v>
      </c>
      <c r="F13" s="576">
        <v>16.59</v>
      </c>
      <c r="G13" s="576">
        <v>16.809999999999999</v>
      </c>
      <c r="H13" s="541">
        <v>13.64</v>
      </c>
      <c r="I13" s="541">
        <v>9.76</v>
      </c>
      <c r="J13" s="541">
        <v>15.09</v>
      </c>
      <c r="K13" s="815">
        <v>8.1</v>
      </c>
      <c r="L13" s="581">
        <v>3.64</v>
      </c>
      <c r="Q13" s="68"/>
    </row>
    <row r="14" spans="1:17" s="25" customFormat="1" ht="20.25" customHeight="1" x14ac:dyDescent="0.4">
      <c r="B14" s="584" t="s">
        <v>56</v>
      </c>
      <c r="C14" s="576">
        <v>58.4</v>
      </c>
      <c r="D14" s="576">
        <v>193.13</v>
      </c>
      <c r="E14" s="541">
        <v>61.39</v>
      </c>
      <c r="F14" s="576">
        <v>62.79</v>
      </c>
      <c r="G14" s="576">
        <v>67.61</v>
      </c>
      <c r="H14" s="541">
        <v>78</v>
      </c>
      <c r="I14" s="541">
        <v>51.93</v>
      </c>
      <c r="J14" s="541">
        <v>99.89</v>
      </c>
      <c r="K14" s="815">
        <v>80.45</v>
      </c>
      <c r="L14" s="581">
        <v>64.260000000000005</v>
      </c>
      <c r="Q14" s="68"/>
    </row>
    <row r="15" spans="1:17" s="25" customFormat="1" ht="20.25" customHeight="1" x14ac:dyDescent="0.4">
      <c r="B15" s="584" t="s">
        <v>175</v>
      </c>
      <c r="C15" s="576">
        <f t="shared" ref="C15" si="1">C13+C14</f>
        <v>92.789999999999992</v>
      </c>
      <c r="D15" s="576">
        <f t="shared" ref="D15" si="2">D13+D14</f>
        <v>216.34</v>
      </c>
      <c r="E15" s="541">
        <f t="shared" ref="E15" si="3">E13+E14</f>
        <v>79.98</v>
      </c>
      <c r="F15" s="576">
        <f t="shared" ref="F15" si="4">F13+F14</f>
        <v>79.38</v>
      </c>
      <c r="G15" s="576">
        <f t="shared" ref="G15:L15" si="5">G13+G14</f>
        <v>84.42</v>
      </c>
      <c r="H15" s="541">
        <f t="shared" si="5"/>
        <v>91.64</v>
      </c>
      <c r="I15" s="541">
        <f t="shared" si="5"/>
        <v>61.69</v>
      </c>
      <c r="J15" s="541">
        <f t="shared" si="5"/>
        <v>114.98</v>
      </c>
      <c r="K15" s="815">
        <f t="shared" si="5"/>
        <v>88.55</v>
      </c>
      <c r="L15" s="581">
        <f t="shared" si="5"/>
        <v>67.900000000000006</v>
      </c>
      <c r="Q15" s="68"/>
    </row>
    <row r="16" spans="1:17" s="25" customFormat="1" ht="20.25" customHeight="1" x14ac:dyDescent="0.4">
      <c r="B16" s="585" t="s">
        <v>176</v>
      </c>
      <c r="C16" s="578">
        <v>22.16</v>
      </c>
      <c r="D16" s="578">
        <v>151.85999999999999</v>
      </c>
      <c r="E16" s="545">
        <v>16.920000000000002</v>
      </c>
      <c r="F16" s="578">
        <v>23.12</v>
      </c>
      <c r="G16" s="578">
        <v>35.56</v>
      </c>
      <c r="H16" s="545">
        <v>30.17</v>
      </c>
      <c r="I16" s="545">
        <v>18.18</v>
      </c>
      <c r="J16" s="545">
        <v>77.36</v>
      </c>
      <c r="K16" s="910">
        <v>36.46</v>
      </c>
      <c r="L16" s="586">
        <v>25.14</v>
      </c>
      <c r="Q16" s="68"/>
    </row>
    <row r="17" spans="2:17" s="25" customFormat="1" ht="20.25" customHeight="1" x14ac:dyDescent="0.4">
      <c r="B17" s="585" t="s">
        <v>177</v>
      </c>
      <c r="C17" s="578">
        <v>51.56</v>
      </c>
      <c r="D17" s="578">
        <v>47.18</v>
      </c>
      <c r="E17" s="545">
        <v>44.15</v>
      </c>
      <c r="F17" s="578">
        <v>40.159999999999997</v>
      </c>
      <c r="G17" s="578">
        <v>33.630000000000003</v>
      </c>
      <c r="H17" s="545">
        <v>44.199999999999996</v>
      </c>
      <c r="I17" s="545">
        <v>28.01</v>
      </c>
      <c r="J17" s="545">
        <v>24.21</v>
      </c>
      <c r="K17" s="910">
        <v>36.160000000000004</v>
      </c>
      <c r="L17" s="586">
        <v>28.990000000000002</v>
      </c>
      <c r="Q17" s="68"/>
    </row>
    <row r="18" spans="2:17" s="25" customFormat="1" ht="20.25" customHeight="1" x14ac:dyDescent="0.4">
      <c r="B18" s="585" t="s">
        <v>178</v>
      </c>
      <c r="C18" s="578">
        <v>19.05</v>
      </c>
      <c r="D18" s="578">
        <v>17.309999999999999</v>
      </c>
      <c r="E18" s="545">
        <v>18.91</v>
      </c>
      <c r="F18" s="578">
        <v>16.09</v>
      </c>
      <c r="G18" s="578">
        <v>15.22</v>
      </c>
      <c r="H18" s="545">
        <v>17.259999999999998</v>
      </c>
      <c r="I18" s="545">
        <v>15.48</v>
      </c>
      <c r="J18" s="545">
        <v>13.41</v>
      </c>
      <c r="K18" s="910">
        <v>15.92</v>
      </c>
      <c r="L18" s="586">
        <v>13.76</v>
      </c>
      <c r="Q18" s="68"/>
    </row>
    <row r="19" spans="2:17" s="25" customFormat="1" ht="20.25" customHeight="1" x14ac:dyDescent="0.4">
      <c r="B19" s="585"/>
      <c r="C19" s="577"/>
      <c r="D19" s="577"/>
      <c r="E19" s="582"/>
      <c r="F19" s="577"/>
      <c r="G19" s="577"/>
      <c r="H19" s="582"/>
      <c r="I19" s="582"/>
      <c r="J19" s="582"/>
      <c r="K19" s="912"/>
      <c r="L19" s="583"/>
      <c r="Q19" s="68"/>
    </row>
    <row r="20" spans="2:17" s="25" customFormat="1" ht="20.25" customHeight="1" x14ac:dyDescent="0.4">
      <c r="B20" s="584" t="s">
        <v>60</v>
      </c>
      <c r="C20" s="576">
        <v>-158.26999999999995</v>
      </c>
      <c r="D20" s="576">
        <v>-142.70000000000024</v>
      </c>
      <c r="E20" s="541">
        <v>-52.539999999999893</v>
      </c>
      <c r="F20" s="576">
        <v>-271.54000000000008</v>
      </c>
      <c r="G20" s="576">
        <v>-58.239999999999839</v>
      </c>
      <c r="H20" s="541">
        <v>-117.54000000000011</v>
      </c>
      <c r="I20" s="541">
        <v>-57.430000000000071</v>
      </c>
      <c r="J20" s="541">
        <v>-56.499999999999915</v>
      </c>
      <c r="K20" s="815">
        <v>-56.279999999999923</v>
      </c>
      <c r="L20" s="581">
        <v>-53.730000000000068</v>
      </c>
      <c r="Q20" s="68"/>
    </row>
    <row r="21" spans="2:17" s="25" customFormat="1" ht="20.25" customHeight="1" x14ac:dyDescent="0.4">
      <c r="B21" s="585" t="s">
        <v>176</v>
      </c>
      <c r="C21" s="578">
        <v>-101.47999999999993</v>
      </c>
      <c r="D21" s="578">
        <v>-110.24999999999994</v>
      </c>
      <c r="E21" s="545">
        <v>-21.840000000000128</v>
      </c>
      <c r="F21" s="578">
        <v>-236.39000000000001</v>
      </c>
      <c r="G21" s="578">
        <v>-30.169999999999966</v>
      </c>
      <c r="H21" s="545">
        <v>-89.77</v>
      </c>
      <c r="I21" s="545">
        <v>-37.47</v>
      </c>
      <c r="J21" s="545">
        <v>-34.640000000000029</v>
      </c>
      <c r="K21" s="910">
        <v>-37.349999999999966</v>
      </c>
      <c r="L21" s="586">
        <v>-30.39000000000004</v>
      </c>
      <c r="Q21" s="68"/>
    </row>
    <row r="22" spans="2:17" s="25" customFormat="1" ht="20.25" customHeight="1" x14ac:dyDescent="0.4">
      <c r="B22" s="585" t="s">
        <v>177</v>
      </c>
      <c r="C22" s="578">
        <v>-41.53</v>
      </c>
      <c r="D22" s="578">
        <v>-20.080000000000016</v>
      </c>
      <c r="E22" s="545">
        <v>-22.040000000000028</v>
      </c>
      <c r="F22" s="578">
        <v>-22.169999999999966</v>
      </c>
      <c r="G22" s="578">
        <v>-20.429999999999989</v>
      </c>
      <c r="H22" s="545">
        <v>-20.590000000000028</v>
      </c>
      <c r="I22" s="545">
        <v>-14.619999999999976</v>
      </c>
      <c r="J22" s="545">
        <v>-17.249999999999996</v>
      </c>
      <c r="K22" s="910">
        <v>-13.15000000000002</v>
      </c>
      <c r="L22" s="586">
        <v>-16.839999999999986</v>
      </c>
      <c r="Q22" s="68"/>
    </row>
    <row r="23" spans="2:17" s="25" customFormat="1" ht="20.25" customHeight="1" x14ac:dyDescent="0.4">
      <c r="B23" s="585" t="s">
        <v>178</v>
      </c>
      <c r="C23" s="578">
        <v>-15.23000000000005</v>
      </c>
      <c r="D23" s="578">
        <v>-12.389999999999953</v>
      </c>
      <c r="E23" s="545">
        <v>-8.6600000000000108</v>
      </c>
      <c r="F23" s="578">
        <v>-12.970000000000006</v>
      </c>
      <c r="G23" s="578">
        <v>-7.6200000000000019</v>
      </c>
      <c r="H23" s="545">
        <v>-7.1799999999999988</v>
      </c>
      <c r="I23" s="545">
        <v>-5.3300000000000036</v>
      </c>
      <c r="J23" s="545">
        <v>-4.5999999999999908</v>
      </c>
      <c r="K23" s="910">
        <v>-5.800000000000006</v>
      </c>
      <c r="L23" s="586">
        <v>-6.4899999999999993</v>
      </c>
      <c r="Q23" s="68"/>
    </row>
    <row r="24" spans="2:17" s="25" customFormat="1" ht="20.25" customHeight="1" x14ac:dyDescent="0.4">
      <c r="B24" s="585"/>
      <c r="C24" s="577"/>
      <c r="D24" s="577"/>
      <c r="E24" s="582"/>
      <c r="F24" s="577"/>
      <c r="G24" s="577"/>
      <c r="H24" s="582"/>
      <c r="I24" s="582"/>
      <c r="J24" s="582"/>
      <c r="K24" s="912"/>
      <c r="L24" s="583"/>
      <c r="Q24" s="68"/>
    </row>
    <row r="25" spans="2:17" s="25" customFormat="1" ht="20.25" customHeight="1" x14ac:dyDescent="0.4">
      <c r="B25" s="565" t="s">
        <v>59</v>
      </c>
      <c r="C25" s="576">
        <v>-95.11</v>
      </c>
      <c r="D25" s="576">
        <v>-40.4</v>
      </c>
      <c r="E25" s="541">
        <v>-30.6</v>
      </c>
      <c r="F25" s="576">
        <v>-173.77</v>
      </c>
      <c r="G25" s="576">
        <v>-26.32</v>
      </c>
      <c r="H25" s="541">
        <v>-12.8</v>
      </c>
      <c r="I25" s="541">
        <v>-6.03</v>
      </c>
      <c r="J25" s="541">
        <v>-18.72</v>
      </c>
      <c r="K25" s="815">
        <v>-7.86</v>
      </c>
      <c r="L25" s="581">
        <v>-17.8</v>
      </c>
      <c r="Q25" s="68"/>
    </row>
    <row r="26" spans="2:17" s="25" customFormat="1" ht="20.25" customHeight="1" x14ac:dyDescent="0.4">
      <c r="B26" s="565" t="s">
        <v>57</v>
      </c>
      <c r="C26" s="576">
        <v>-22.18</v>
      </c>
      <c r="D26" s="576">
        <v>-426.21</v>
      </c>
      <c r="E26" s="541">
        <v>0.04</v>
      </c>
      <c r="F26" s="576">
        <v>-350.21</v>
      </c>
      <c r="G26" s="576">
        <v>-26.54</v>
      </c>
      <c r="H26" s="541">
        <v>-0.43</v>
      </c>
      <c r="I26" s="541">
        <v>0.1</v>
      </c>
      <c r="J26" s="541">
        <v>-233.61</v>
      </c>
      <c r="K26" s="815">
        <v>4.75</v>
      </c>
      <c r="L26" s="581">
        <v>-1.3</v>
      </c>
      <c r="Q26" s="68"/>
    </row>
    <row r="27" spans="2:17" s="25" customFormat="1" ht="20.25" customHeight="1" x14ac:dyDescent="0.4">
      <c r="B27" s="565"/>
      <c r="C27" s="535"/>
      <c r="D27" s="535"/>
      <c r="E27" s="545"/>
      <c r="F27" s="535"/>
      <c r="G27" s="535"/>
      <c r="H27" s="545"/>
      <c r="I27" s="545"/>
      <c r="J27" s="545"/>
      <c r="K27" s="910"/>
      <c r="L27" s="546"/>
    </row>
    <row r="28" spans="2:17" s="25" customFormat="1" ht="20.25" customHeight="1" x14ac:dyDescent="0.4">
      <c r="B28" s="565" t="s">
        <v>58</v>
      </c>
      <c r="C28" s="534">
        <v>2441.5529170199989</v>
      </c>
      <c r="D28" s="534">
        <v>2048.5796317300005</v>
      </c>
      <c r="E28" s="541">
        <v>2045.45625649</v>
      </c>
      <c r="F28" s="534">
        <v>1329.3203579900003</v>
      </c>
      <c r="G28" s="534">
        <v>1302.6423571399996</v>
      </c>
      <c r="H28" s="541">
        <v>1263.5071478100012</v>
      </c>
      <c r="I28" s="541">
        <v>1261.8381047699991</v>
      </c>
      <c r="J28" s="541">
        <v>1067.9918054000004</v>
      </c>
      <c r="K28" s="815">
        <v>1097.1468719499992</v>
      </c>
      <c r="L28" s="542">
        <v>1092.2180770500001</v>
      </c>
    </row>
    <row r="29" spans="2:17" s="25" customFormat="1" ht="20.25" customHeight="1" x14ac:dyDescent="0.4">
      <c r="B29" s="587"/>
      <c r="C29" s="588"/>
      <c r="D29" s="588"/>
      <c r="E29" s="589"/>
      <c r="F29" s="588"/>
      <c r="G29" s="588"/>
      <c r="H29" s="589"/>
      <c r="I29" s="589"/>
      <c r="J29" s="589"/>
      <c r="K29" s="727"/>
      <c r="L29" s="590"/>
    </row>
    <row r="30" spans="2:17" s="26" customFormat="1" ht="11.25" customHeight="1" x14ac:dyDescent="0.4">
      <c r="B30" s="579"/>
      <c r="C30" s="558"/>
      <c r="D30" s="558"/>
      <c r="E30" s="558"/>
      <c r="F30" s="567"/>
      <c r="G30" s="567"/>
      <c r="H30" s="567"/>
      <c r="I30" s="567"/>
      <c r="J30" s="567"/>
      <c r="K30" s="567"/>
      <c r="L30" s="558"/>
    </row>
    <row r="31" spans="2:17" s="26" customFormat="1" ht="18.75" customHeight="1" x14ac:dyDescent="0.4">
      <c r="B31" s="714" t="s">
        <v>190</v>
      </c>
      <c r="C31" s="558"/>
      <c r="D31" s="558"/>
      <c r="E31" s="558"/>
      <c r="F31" s="558"/>
      <c r="G31" s="558"/>
      <c r="H31" s="558"/>
      <c r="I31" s="558"/>
      <c r="J31" s="558"/>
      <c r="K31" s="558"/>
      <c r="L31" s="558"/>
    </row>
    <row r="32" spans="2:17" s="19" customFormat="1" ht="22.5" customHeight="1" x14ac:dyDescent="0.25">
      <c r="B32" s="952"/>
      <c r="C32" s="952"/>
      <c r="D32" s="952"/>
      <c r="E32" s="952"/>
      <c r="F32" s="952"/>
      <c r="G32" s="952"/>
      <c r="H32" s="952"/>
      <c r="I32" s="952"/>
      <c r="J32" s="952"/>
      <c r="K32" s="952"/>
      <c r="L32" s="952"/>
    </row>
    <row r="34" spans="3:12" ht="15" customHeight="1" x14ac:dyDescent="0.2">
      <c r="C34" s="69"/>
      <c r="D34" s="69"/>
      <c r="E34" s="69"/>
      <c r="F34" s="69"/>
      <c r="G34" s="69"/>
      <c r="H34" s="69"/>
      <c r="I34" s="69"/>
      <c r="J34" s="69"/>
      <c r="K34" s="69"/>
      <c r="L34" s="69"/>
    </row>
    <row r="35" spans="3:12" ht="15" customHeight="1" x14ac:dyDescent="0.2">
      <c r="C35" s="70"/>
      <c r="D35" s="70"/>
      <c r="E35" s="70"/>
      <c r="F35" s="70"/>
      <c r="G35" s="70"/>
      <c r="H35" s="70"/>
      <c r="I35" s="70"/>
      <c r="J35" s="70"/>
      <c r="K35" s="70"/>
      <c r="L35" s="70"/>
    </row>
  </sheetData>
  <mergeCells count="2">
    <mergeCell ref="B5:L5"/>
    <mergeCell ref="B32:L32"/>
  </mergeCells>
  <hyperlinks>
    <hyperlink ref="L2" location="'Cover '!A1" display="Back to Cover" xr:uid="{49077E08-3475-43F9-B35F-D0DD0E50A313}"/>
  </hyperlinks>
  <printOptions horizontalCentered="1" verticalCentered="1"/>
  <pageMargins left="0" right="0" top="0" bottom="0" header="0" footer="0"/>
  <pageSetup paperSize="8"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38"/>
  <sheetViews>
    <sheetView showGridLines="0" view="pageBreakPreview" zoomScale="80" zoomScaleNormal="90" zoomScaleSheetLayoutView="80" workbookViewId="0">
      <pane xSplit="2" ySplit="10" topLeftCell="C11" activePane="bottomRight" state="frozen"/>
      <selection pane="topRight" activeCell="C1" sqref="C1"/>
      <selection pane="bottomLeft" activeCell="A11" sqref="A11"/>
      <selection pane="bottomRight" activeCell="B5" sqref="B5:L5"/>
    </sheetView>
  </sheetViews>
  <sheetFormatPr defaultColWidth="9.109375" defaultRowHeight="14.4" x14ac:dyDescent="0.3"/>
  <cols>
    <col min="1" max="1" width="2.44140625" style="27" customWidth="1"/>
    <col min="2" max="2" width="35" style="27" customWidth="1"/>
    <col min="3" max="12" width="15.6640625" style="27" customWidth="1"/>
    <col min="13" max="13" width="2.44140625" style="27" customWidth="1"/>
    <col min="14" max="16384" width="9.109375" style="27"/>
  </cols>
  <sheetData>
    <row r="1" spans="1:12" ht="15.75" customHeight="1" x14ac:dyDescent="0.35">
      <c r="B1" s="591"/>
      <c r="C1" s="591"/>
      <c r="D1" s="591"/>
      <c r="E1" s="591"/>
      <c r="F1" s="591"/>
      <c r="G1" s="591"/>
      <c r="H1" s="591"/>
      <c r="I1" s="591"/>
      <c r="J1" s="591"/>
      <c r="K1" s="591"/>
      <c r="L1" s="591"/>
    </row>
    <row r="2" spans="1:12" ht="15.75" customHeight="1" x14ac:dyDescent="0.4">
      <c r="B2" s="591"/>
      <c r="C2" s="592"/>
      <c r="D2" s="592"/>
      <c r="E2" s="592"/>
      <c r="F2" s="592"/>
      <c r="G2" s="592"/>
      <c r="H2" s="592"/>
      <c r="I2" s="592"/>
      <c r="J2" s="592"/>
      <c r="K2" s="592"/>
      <c r="L2" s="528" t="s">
        <v>20</v>
      </c>
    </row>
    <row r="3" spans="1:12" ht="15.75" customHeight="1" x14ac:dyDescent="0.35">
      <c r="B3" s="591"/>
      <c r="C3" s="591"/>
      <c r="D3" s="591"/>
      <c r="E3" s="591"/>
      <c r="F3" s="591"/>
      <c r="G3" s="591"/>
      <c r="H3" s="591"/>
      <c r="I3" s="591"/>
      <c r="J3" s="591"/>
      <c r="K3" s="591"/>
      <c r="L3" s="591"/>
    </row>
    <row r="4" spans="1:12" ht="15.75" customHeight="1" x14ac:dyDescent="0.4">
      <c r="B4" s="591"/>
      <c r="C4" s="552"/>
      <c r="D4" s="552"/>
      <c r="E4" s="552"/>
      <c r="F4" s="552"/>
      <c r="G4" s="552"/>
      <c r="H4" s="552"/>
      <c r="I4" s="552"/>
      <c r="J4" s="552"/>
      <c r="K4" s="552"/>
      <c r="L4" s="591"/>
    </row>
    <row r="5" spans="1:12" ht="26.25" customHeight="1" x14ac:dyDescent="0.3">
      <c r="A5" s="28"/>
      <c r="B5" s="937" t="s">
        <v>42</v>
      </c>
      <c r="C5" s="937"/>
      <c r="D5" s="937"/>
      <c r="E5" s="937"/>
      <c r="F5" s="937"/>
      <c r="G5" s="937"/>
      <c r="H5" s="937"/>
      <c r="I5" s="937"/>
      <c r="J5" s="937"/>
      <c r="K5" s="937"/>
      <c r="L5" s="937"/>
    </row>
    <row r="6" spans="1:12" s="29" customFormat="1" ht="15.6" x14ac:dyDescent="0.3">
      <c r="A6" s="28"/>
      <c r="B6" s="593"/>
      <c r="C6" s="593"/>
      <c r="D6" s="593"/>
      <c r="E6" s="593"/>
      <c r="F6" s="593"/>
      <c r="G6" s="593"/>
      <c r="H6" s="593"/>
      <c r="I6" s="593"/>
      <c r="J6" s="593"/>
      <c r="K6" s="593"/>
      <c r="L6" s="593"/>
    </row>
    <row r="7" spans="1:12" ht="15.6" x14ac:dyDescent="0.35">
      <c r="B7" s="594"/>
      <c r="C7" s="594"/>
      <c r="D7" s="594"/>
      <c r="E7" s="594"/>
      <c r="F7" s="594"/>
      <c r="G7" s="594"/>
      <c r="H7" s="594"/>
      <c r="I7" s="594"/>
      <c r="J7" s="594"/>
      <c r="K7" s="594"/>
      <c r="L7" s="594"/>
    </row>
    <row r="8" spans="1:12" ht="15" customHeight="1" x14ac:dyDescent="0.35">
      <c r="B8" s="594" t="s">
        <v>43</v>
      </c>
      <c r="C8" s="595"/>
      <c r="D8" s="595"/>
      <c r="E8" s="595"/>
      <c r="F8" s="595"/>
      <c r="G8" s="595"/>
      <c r="H8" s="595"/>
      <c r="I8" s="595"/>
      <c r="J8" s="595"/>
      <c r="K8" s="595"/>
      <c r="L8" s="595"/>
    </row>
    <row r="9" spans="1:12" ht="15" customHeight="1" x14ac:dyDescent="0.35">
      <c r="B9" s="594"/>
      <c r="C9" s="595"/>
      <c r="D9" s="595"/>
      <c r="E9" s="595"/>
      <c r="F9" s="595"/>
      <c r="G9" s="595"/>
      <c r="H9" s="595"/>
      <c r="I9" s="595"/>
      <c r="J9" s="595"/>
      <c r="K9" s="595"/>
      <c r="L9" s="595"/>
    </row>
    <row r="10" spans="1:12" s="30" customFormat="1" ht="26.4" customHeight="1" x14ac:dyDescent="0.3">
      <c r="B10" s="618"/>
      <c r="C10" s="538">
        <v>45016</v>
      </c>
      <c r="D10" s="538">
        <v>45107</v>
      </c>
      <c r="E10" s="538">
        <v>45199</v>
      </c>
      <c r="F10" s="538">
        <v>45291</v>
      </c>
      <c r="G10" s="538">
        <v>45382</v>
      </c>
      <c r="H10" s="538">
        <v>45473</v>
      </c>
      <c r="I10" s="538">
        <v>45565</v>
      </c>
      <c r="J10" s="538">
        <v>45657</v>
      </c>
      <c r="K10" s="551">
        <v>45747</v>
      </c>
      <c r="L10" s="538">
        <v>45838</v>
      </c>
    </row>
    <row r="11" spans="1:12" ht="20.25" customHeight="1" x14ac:dyDescent="0.35">
      <c r="B11" s="596"/>
      <c r="C11" s="596"/>
      <c r="D11" s="596"/>
      <c r="E11" s="596"/>
      <c r="F11" s="596"/>
      <c r="G11" s="596"/>
      <c r="H11" s="596"/>
      <c r="I11" s="596"/>
      <c r="J11" s="596"/>
      <c r="K11" s="603"/>
      <c r="L11" s="596"/>
    </row>
    <row r="12" spans="1:12" ht="24" customHeight="1" x14ac:dyDescent="0.3">
      <c r="B12" s="614" t="s">
        <v>293</v>
      </c>
      <c r="C12" s="602"/>
      <c r="D12" s="602"/>
      <c r="E12" s="602"/>
      <c r="F12" s="602"/>
      <c r="G12" s="602"/>
      <c r="H12" s="602"/>
      <c r="I12" s="602"/>
      <c r="J12" s="602"/>
      <c r="K12" s="604"/>
      <c r="L12" s="602"/>
    </row>
    <row r="13" spans="1:12" ht="15.6" x14ac:dyDescent="0.35">
      <c r="B13" s="615" t="s">
        <v>54</v>
      </c>
      <c r="C13" s="616"/>
      <c r="D13" s="616"/>
      <c r="E13" s="616"/>
      <c r="F13" s="616"/>
      <c r="G13" s="616"/>
      <c r="H13" s="616"/>
      <c r="I13" s="616"/>
      <c r="J13" s="616"/>
      <c r="K13" s="617"/>
      <c r="L13" s="616"/>
    </row>
    <row r="14" spans="1:12" s="31" customFormat="1" ht="15" customHeight="1" x14ac:dyDescent="0.35">
      <c r="B14" s="597" t="s">
        <v>63</v>
      </c>
      <c r="C14" s="598">
        <v>3779.8510980000001</v>
      </c>
      <c r="D14" s="598">
        <v>3865.9960590000001</v>
      </c>
      <c r="E14" s="598">
        <v>4110.370457</v>
      </c>
      <c r="F14" s="598">
        <v>4326.7381299999997</v>
      </c>
      <c r="G14" s="598">
        <v>4494.4756909999996</v>
      </c>
      <c r="H14" s="598">
        <v>4729.2096068473256</v>
      </c>
      <c r="I14" s="598">
        <v>4944.4027484886201</v>
      </c>
      <c r="J14" s="598">
        <v>4935.617174</v>
      </c>
      <c r="K14" s="605">
        <v>5064</v>
      </c>
      <c r="L14" s="598">
        <v>5125.000344</v>
      </c>
    </row>
    <row r="15" spans="1:12" ht="15.6" x14ac:dyDescent="0.35">
      <c r="B15" s="597" t="s">
        <v>61</v>
      </c>
      <c r="C15" s="598">
        <v>5273.5551919999998</v>
      </c>
      <c r="D15" s="598">
        <v>5360.4137840000003</v>
      </c>
      <c r="E15" s="598">
        <v>5604.9866160000001</v>
      </c>
      <c r="F15" s="598">
        <v>5821.8881970000002</v>
      </c>
      <c r="G15" s="598">
        <v>6085.0819289999999</v>
      </c>
      <c r="H15" s="598">
        <v>6336.9569688473248</v>
      </c>
      <c r="I15" s="598">
        <v>6698.9759459332199</v>
      </c>
      <c r="J15" s="598">
        <v>6708.1066760000003</v>
      </c>
      <c r="K15" s="605">
        <v>6855</v>
      </c>
      <c r="L15" s="598">
        <v>7297.8168839999998</v>
      </c>
    </row>
    <row r="16" spans="1:12" ht="15.6" x14ac:dyDescent="0.35">
      <c r="B16" s="597" t="s">
        <v>62</v>
      </c>
      <c r="C16" s="598">
        <v>31082.554315000001</v>
      </c>
      <c r="D16" s="598">
        <v>31617.013011999999</v>
      </c>
      <c r="E16" s="598">
        <v>32172.703530999999</v>
      </c>
      <c r="F16" s="598">
        <v>32765.057611</v>
      </c>
      <c r="G16" s="598">
        <v>33051.265322618674</v>
      </c>
      <c r="H16" s="598">
        <v>34143.051293999997</v>
      </c>
      <c r="I16" s="598">
        <v>33708.738581787897</v>
      </c>
      <c r="J16" s="598">
        <v>34098.476318000001</v>
      </c>
      <c r="K16" s="605">
        <v>35651</v>
      </c>
      <c r="L16" s="598">
        <v>36118.630502</v>
      </c>
    </row>
    <row r="17" spans="2:14" ht="15.6" x14ac:dyDescent="0.35">
      <c r="B17" s="599" t="s">
        <v>64</v>
      </c>
      <c r="C17" s="600">
        <v>0.12160683641678371</v>
      </c>
      <c r="D17" s="600">
        <v>0.12227581579362637</v>
      </c>
      <c r="E17" s="600">
        <v>0.12775956030675054</v>
      </c>
      <c r="F17" s="600">
        <v>0.13205342659148606</v>
      </c>
      <c r="G17" s="600">
        <v>0.13598498112337623</v>
      </c>
      <c r="H17" s="600">
        <v>0.13851162762592328</v>
      </c>
      <c r="I17" s="600">
        <v>0.14668014753776559</v>
      </c>
      <c r="J17" s="600">
        <v>0.14474597421804952</v>
      </c>
      <c r="K17" s="606">
        <v>0.14204370143894982</v>
      </c>
      <c r="L17" s="600">
        <v>0.14189354005867452</v>
      </c>
    </row>
    <row r="18" spans="2:14" ht="15.6" x14ac:dyDescent="0.35">
      <c r="B18" s="599" t="s">
        <v>65</v>
      </c>
      <c r="C18" s="600">
        <v>0.16966286420852666</v>
      </c>
      <c r="D18" s="600">
        <v>0.16954206844161704</v>
      </c>
      <c r="E18" s="600">
        <v>0.17421559274927942</v>
      </c>
      <c r="F18" s="600">
        <v>0.17768588311730774</v>
      </c>
      <c r="G18" s="600">
        <v>0.18411040756238964</v>
      </c>
      <c r="H18" s="600">
        <v>0.18560019473013317</v>
      </c>
      <c r="I18" s="600">
        <v>0.1987311370219155</v>
      </c>
      <c r="J18" s="600">
        <v>0.19672746117570378</v>
      </c>
      <c r="K18" s="606">
        <v>0.19228072143838881</v>
      </c>
      <c r="L18" s="600">
        <v>0.20205131763220915</v>
      </c>
    </row>
    <row r="19" spans="2:14" ht="15" x14ac:dyDescent="0.35">
      <c r="B19" s="596"/>
      <c r="C19" s="596"/>
      <c r="D19" s="596"/>
      <c r="E19" s="596"/>
      <c r="F19" s="596"/>
      <c r="G19" s="601"/>
      <c r="H19" s="601"/>
      <c r="I19" s="601"/>
      <c r="J19" s="601"/>
      <c r="K19" s="607"/>
      <c r="L19" s="601"/>
    </row>
    <row r="20" spans="2:14" ht="19.2" x14ac:dyDescent="0.35">
      <c r="B20" s="599" t="s">
        <v>432</v>
      </c>
      <c r="C20" s="609"/>
      <c r="D20" s="609"/>
      <c r="E20" s="609"/>
      <c r="F20" s="609"/>
      <c r="G20" s="609"/>
      <c r="H20" s="609"/>
      <c r="I20" s="609"/>
      <c r="J20" s="609"/>
      <c r="K20" s="610"/>
      <c r="L20" s="609"/>
    </row>
    <row r="21" spans="2:14" ht="15.6" x14ac:dyDescent="0.35">
      <c r="B21" s="611" t="s">
        <v>63</v>
      </c>
      <c r="C21" s="612">
        <v>3779.8510980000001</v>
      </c>
      <c r="D21" s="612">
        <v>3865.9960590000001</v>
      </c>
      <c r="E21" s="612">
        <v>4110.370457</v>
      </c>
      <c r="F21" s="612">
        <v>4326.7381299999997</v>
      </c>
      <c r="G21" s="612">
        <v>4494.4756909999996</v>
      </c>
      <c r="H21" s="612">
        <v>4729.2096068473256</v>
      </c>
      <c r="I21" s="612">
        <v>4944.4027484886201</v>
      </c>
      <c r="J21" s="612">
        <v>4935.617174</v>
      </c>
      <c r="K21" s="613">
        <v>5064</v>
      </c>
      <c r="L21" s="612">
        <v>5125.000344</v>
      </c>
    </row>
    <row r="22" spans="2:14" ht="15.6" x14ac:dyDescent="0.35">
      <c r="B22" s="597" t="s">
        <v>61</v>
      </c>
      <c r="C22" s="598">
        <v>5273.5551919999998</v>
      </c>
      <c r="D22" s="598">
        <v>5360.4137840000003</v>
      </c>
      <c r="E22" s="598">
        <v>5604.9866160000001</v>
      </c>
      <c r="F22" s="598">
        <v>5921.8881970000002</v>
      </c>
      <c r="G22" s="598">
        <v>6085.0819289999999</v>
      </c>
      <c r="H22" s="598">
        <v>6486.9569688473248</v>
      </c>
      <c r="I22" s="598">
        <v>6698.9759459332199</v>
      </c>
      <c r="J22" s="598">
        <v>6708.1066760000003</v>
      </c>
      <c r="K22" s="605">
        <v>6855</v>
      </c>
      <c r="L22" s="598">
        <v>7297.8168839999998</v>
      </c>
    </row>
    <row r="23" spans="2:14" ht="15.6" x14ac:dyDescent="0.35">
      <c r="B23" s="597" t="s">
        <v>62</v>
      </c>
      <c r="C23" s="598">
        <v>31082.554315000001</v>
      </c>
      <c r="D23" s="598">
        <v>31336.371346</v>
      </c>
      <c r="E23" s="598">
        <v>31926.632594999999</v>
      </c>
      <c r="F23" s="598">
        <v>32557.058400999998</v>
      </c>
      <c r="G23" s="598">
        <v>32856.039396618675</v>
      </c>
      <c r="H23" s="598">
        <v>33355.959430999996</v>
      </c>
      <c r="I23" s="598">
        <v>33614.364662787899</v>
      </c>
      <c r="J23" s="598">
        <v>33633.43932243</v>
      </c>
      <c r="K23" s="605">
        <v>35181.735999999997</v>
      </c>
      <c r="L23" s="598">
        <v>35697.749501999999</v>
      </c>
      <c r="N23" s="712"/>
    </row>
    <row r="24" spans="2:14" ht="15.6" x14ac:dyDescent="0.35">
      <c r="B24" s="599" t="s">
        <v>64</v>
      </c>
      <c r="C24" s="600">
        <v>0.12160683641678371</v>
      </c>
      <c r="D24" s="600">
        <v>0.12337089117031681</v>
      </c>
      <c r="E24" s="600">
        <v>0.12874425277295676</v>
      </c>
      <c r="F24" s="600">
        <v>0.13289708415017934</v>
      </c>
      <c r="G24" s="600">
        <v>0.13679298459395386</v>
      </c>
      <c r="H24" s="600">
        <v>0.14178005032744298</v>
      </c>
      <c r="I24" s="600">
        <v>0.14709195899103877</v>
      </c>
      <c r="J24" s="600">
        <v>0.14674732270715049</v>
      </c>
      <c r="K24" s="606">
        <v>0.14393832072413937</v>
      </c>
      <c r="L24" s="600">
        <v>0.14356648291548091</v>
      </c>
    </row>
    <row r="25" spans="2:14" ht="15.6" x14ac:dyDescent="0.35">
      <c r="B25" s="599" t="s">
        <v>65</v>
      </c>
      <c r="C25" s="600">
        <v>0.16966286420852666</v>
      </c>
      <c r="D25" s="600">
        <v>0.17106045000593989</v>
      </c>
      <c r="E25" s="600">
        <v>0.1755583398694478</v>
      </c>
      <c r="F25" s="600">
        <v>0.18189260602297253</v>
      </c>
      <c r="G25" s="600">
        <v>0.18520436549105904</v>
      </c>
      <c r="H25" s="600">
        <v>0.19447670160009092</v>
      </c>
      <c r="I25" s="600">
        <v>0.19928908409056398</v>
      </c>
      <c r="J25" s="600">
        <v>0.19944753825774791</v>
      </c>
      <c r="K25" s="606">
        <v>0.19484541638309152</v>
      </c>
      <c r="L25" s="600">
        <v>0.20443352832623618</v>
      </c>
    </row>
    <row r="26" spans="2:14" ht="15" x14ac:dyDescent="0.35">
      <c r="B26" s="596"/>
      <c r="C26" s="596"/>
      <c r="D26" s="596"/>
      <c r="E26" s="596"/>
      <c r="F26" s="596"/>
      <c r="G26" s="596"/>
      <c r="H26" s="596"/>
      <c r="I26" s="596"/>
      <c r="J26" s="596"/>
      <c r="K26" s="603"/>
      <c r="L26" s="596"/>
    </row>
    <row r="27" spans="2:14" ht="15.6" x14ac:dyDescent="0.35">
      <c r="B27" s="594"/>
      <c r="C27" s="594"/>
      <c r="D27" s="594"/>
      <c r="E27" s="594"/>
      <c r="F27" s="600"/>
      <c r="G27" s="594"/>
      <c r="H27" s="594"/>
      <c r="I27" s="594"/>
      <c r="J27" s="594"/>
      <c r="K27" s="608"/>
      <c r="L27" s="594"/>
    </row>
    <row r="28" spans="2:14" ht="15.6" x14ac:dyDescent="0.35">
      <c r="B28" s="594"/>
      <c r="C28" s="594"/>
      <c r="D28" s="594"/>
      <c r="E28" s="594"/>
      <c r="F28" s="600"/>
      <c r="G28" s="594"/>
      <c r="H28" s="594"/>
      <c r="I28" s="594"/>
      <c r="J28" s="594"/>
      <c r="K28" s="608"/>
      <c r="L28" s="594"/>
    </row>
    <row r="29" spans="2:14" ht="22.95" customHeight="1" x14ac:dyDescent="0.3">
      <c r="B29" s="614" t="s">
        <v>469</v>
      </c>
      <c r="C29" s="602"/>
      <c r="D29" s="602"/>
      <c r="E29" s="602"/>
      <c r="F29" s="602"/>
      <c r="G29" s="602"/>
      <c r="H29" s="602"/>
      <c r="I29" s="602"/>
      <c r="J29" s="602"/>
      <c r="K29" s="604"/>
      <c r="L29" s="602"/>
    </row>
    <row r="30" spans="2:14" ht="15.6" x14ac:dyDescent="0.35">
      <c r="B30" s="615"/>
      <c r="C30" s="616"/>
      <c r="D30" s="616"/>
      <c r="E30" s="616"/>
      <c r="F30" s="616"/>
      <c r="G30" s="616"/>
      <c r="H30" s="616"/>
      <c r="I30" s="616"/>
      <c r="J30" s="616"/>
      <c r="K30" s="617"/>
      <c r="L30" s="616"/>
    </row>
    <row r="31" spans="2:14" ht="15.6" x14ac:dyDescent="0.35">
      <c r="B31" s="597" t="s">
        <v>61</v>
      </c>
      <c r="C31" s="598">
        <v>5225.0679479999999</v>
      </c>
      <c r="D31" s="598">
        <v>5320.1079710000004</v>
      </c>
      <c r="E31" s="598">
        <v>5575.7808599999998</v>
      </c>
      <c r="F31" s="598">
        <v>5900.8378039999998</v>
      </c>
      <c r="G31" s="598">
        <v>6103.9310939999996</v>
      </c>
      <c r="H31" s="598">
        <v>6493.4118959999996</v>
      </c>
      <c r="I31" s="598">
        <v>6747.104557556866</v>
      </c>
      <c r="J31" s="598">
        <v>6762.6010619999997</v>
      </c>
      <c r="K31" s="605">
        <v>6874</v>
      </c>
      <c r="L31" s="598">
        <v>7323.5418170000003</v>
      </c>
    </row>
    <row r="32" spans="2:14" ht="15.6" x14ac:dyDescent="0.35">
      <c r="B32" s="597" t="s">
        <v>330</v>
      </c>
      <c r="C32" s="598">
        <v>921.37388099999998</v>
      </c>
      <c r="D32" s="598">
        <v>1418.2159300000001</v>
      </c>
      <c r="E32" s="598">
        <v>1415.4900692599999</v>
      </c>
      <c r="F32" s="598">
        <v>1911.4548856900001</v>
      </c>
      <c r="G32" s="598">
        <v>2408.6541706799999</v>
      </c>
      <c r="H32" s="598">
        <v>3055.8562978</v>
      </c>
      <c r="I32" s="598">
        <v>3053.05333638</v>
      </c>
      <c r="J32" s="598">
        <v>3050.23404858</v>
      </c>
      <c r="K32" s="605">
        <v>3047.40962094</v>
      </c>
      <c r="L32" s="598">
        <v>3544.6000783499999</v>
      </c>
    </row>
    <row r="33" spans="2:14" ht="15.6" x14ac:dyDescent="0.35">
      <c r="B33" s="597" t="s">
        <v>62</v>
      </c>
      <c r="C33" s="598">
        <v>30907.121765</v>
      </c>
      <c r="D33" s="598">
        <v>31154.769199999999</v>
      </c>
      <c r="E33" s="598">
        <v>32044.982413999998</v>
      </c>
      <c r="F33" s="598">
        <v>32441.083143999997</v>
      </c>
      <c r="G33" s="598">
        <v>32764.578960577099</v>
      </c>
      <c r="H33" s="598">
        <v>33264.057677999997</v>
      </c>
      <c r="I33" s="598">
        <v>33643.005104000003</v>
      </c>
      <c r="J33" s="598">
        <v>33624.28539243</v>
      </c>
      <c r="K33" s="605">
        <v>35193.735999999997</v>
      </c>
      <c r="L33" s="598">
        <v>35719.963731999997</v>
      </c>
      <c r="N33" s="712"/>
    </row>
    <row r="34" spans="2:14" ht="15.6" x14ac:dyDescent="0.35">
      <c r="B34" s="599" t="s">
        <v>329</v>
      </c>
      <c r="C34" s="600">
        <v>0.19886814035075842</v>
      </c>
      <c r="D34" s="600">
        <v>0.21628547005894688</v>
      </c>
      <c r="E34" s="600">
        <v>0.21817053412410714</v>
      </c>
      <c r="F34" s="600">
        <v>0.24081479200348122</v>
      </c>
      <c r="G34" s="600">
        <v>0.25981061056583354</v>
      </c>
      <c r="H34" s="600">
        <v>0.28707466437913387</v>
      </c>
      <c r="I34" s="600">
        <v>0.29129852888116914</v>
      </c>
      <c r="J34" s="600">
        <v>0.29183772966634441</v>
      </c>
      <c r="K34" s="606">
        <v>0.28190839474786084</v>
      </c>
      <c r="L34" s="600">
        <v>0.30425960051055972</v>
      </c>
    </row>
    <row r="35" spans="2:14" ht="15.6" x14ac:dyDescent="0.35">
      <c r="B35" s="599"/>
      <c r="C35" s="600"/>
      <c r="D35" s="600"/>
      <c r="E35" s="600"/>
      <c r="F35" s="600"/>
      <c r="G35" s="600"/>
      <c r="H35" s="600"/>
      <c r="I35" s="600"/>
      <c r="J35" s="600"/>
      <c r="K35" s="600"/>
      <c r="L35" s="600"/>
    </row>
    <row r="36" spans="2:14" ht="29.25" customHeight="1" x14ac:dyDescent="0.35">
      <c r="B36" s="955" t="s">
        <v>66</v>
      </c>
      <c r="C36" s="954"/>
      <c r="D36" s="954"/>
      <c r="E36" s="954"/>
      <c r="F36" s="954"/>
      <c r="G36" s="954"/>
      <c r="H36" s="954"/>
      <c r="I36" s="954"/>
      <c r="J36" s="954"/>
      <c r="K36" s="954"/>
      <c r="L36" s="954"/>
    </row>
    <row r="37" spans="2:14" ht="156" customHeight="1" x14ac:dyDescent="0.35">
      <c r="B37" s="953" t="s">
        <v>626</v>
      </c>
      <c r="C37" s="954"/>
      <c r="D37" s="954"/>
      <c r="E37" s="954"/>
      <c r="F37" s="954"/>
      <c r="G37" s="954"/>
      <c r="H37" s="954"/>
      <c r="I37" s="954"/>
      <c r="J37" s="954"/>
      <c r="K37" s="954"/>
      <c r="L37" s="954"/>
    </row>
    <row r="38" spans="2:14" ht="12.75" customHeight="1" x14ac:dyDescent="0.35">
      <c r="B38" s="953"/>
      <c r="C38" s="954"/>
      <c r="D38" s="954"/>
      <c r="E38" s="954"/>
      <c r="F38" s="954"/>
      <c r="G38" s="954"/>
      <c r="H38" s="954"/>
      <c r="I38" s="954"/>
      <c r="J38" s="954"/>
      <c r="K38" s="954"/>
      <c r="L38" s="954"/>
    </row>
  </sheetData>
  <mergeCells count="4">
    <mergeCell ref="B5:L5"/>
    <mergeCell ref="B37:L37"/>
    <mergeCell ref="B36:L36"/>
    <mergeCell ref="B38:L38"/>
  </mergeCells>
  <hyperlinks>
    <hyperlink ref="L2" location="'Cover '!A1" display="Back to Cover" xr:uid="{00000000-0004-0000-0700-000000000000}"/>
  </hyperlinks>
  <printOptions horizontalCentered="1" verticalCentered="1"/>
  <pageMargins left="0.23622047244094491" right="0.23622047244094491" top="0.74803149606299213" bottom="0.74803149606299213" header="0.31496062992125984" footer="0.31496062992125984"/>
  <pageSetup paperSize="8" scale="66"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110FE-2D42-40EE-9FE6-B2DD92CA596E}">
  <sheetPr codeName="Foglio9">
    <pageSetUpPr fitToPage="1"/>
  </sheetPr>
  <dimension ref="A1:R31"/>
  <sheetViews>
    <sheetView showGridLines="0" view="pageBreakPreview" zoomScale="80" zoomScaleNormal="85" zoomScaleSheetLayoutView="80" workbookViewId="0">
      <selection activeCell="B5" sqref="B5:M5"/>
    </sheetView>
  </sheetViews>
  <sheetFormatPr defaultColWidth="9.109375" defaultRowHeight="15" customHeight="1" x14ac:dyDescent="0.2"/>
  <cols>
    <col min="1" max="1" width="2.44140625" style="20" customWidth="1"/>
    <col min="2" max="2" width="35.33203125" style="20" customWidth="1"/>
    <col min="3" max="3" width="33.88671875" style="22" customWidth="1"/>
    <col min="4" max="4" width="30.6640625" style="22" customWidth="1"/>
    <col min="5" max="5" width="19.109375" style="22" customWidth="1"/>
    <col min="6" max="6" width="21.88671875" style="103" customWidth="1"/>
    <col min="7" max="7" width="17.44140625" style="103" customWidth="1"/>
    <col min="8" max="8" width="17" style="103" customWidth="1"/>
    <col min="9" max="9" width="15.33203125" style="103" customWidth="1"/>
    <col min="10" max="10" width="16" style="103" customWidth="1"/>
    <col min="11" max="11" width="15.33203125" style="103" customWidth="1"/>
    <col min="12" max="12" width="17.33203125" style="103" customWidth="1"/>
    <col min="13" max="13" width="22.6640625" style="22" customWidth="1"/>
    <col min="14" max="14" width="2.44140625" style="20" customWidth="1"/>
    <col min="15" max="16384" width="9.109375" style="20"/>
  </cols>
  <sheetData>
    <row r="1" spans="1:18" s="23" customFormat="1" ht="15.75" customHeight="1" x14ac:dyDescent="0.4">
      <c r="B1" s="527"/>
      <c r="C1" s="527"/>
      <c r="D1" s="527"/>
      <c r="E1" s="527"/>
      <c r="F1" s="619"/>
      <c r="G1" s="619"/>
      <c r="H1" s="619"/>
      <c r="I1" s="619"/>
      <c r="J1" s="619"/>
      <c r="K1" s="619"/>
      <c r="L1" s="619"/>
      <c r="M1" s="527"/>
    </row>
    <row r="2" spans="1:18" s="23" customFormat="1" ht="15.75" customHeight="1" x14ac:dyDescent="0.4">
      <c r="B2" s="527"/>
      <c r="C2" s="552"/>
      <c r="D2" s="552"/>
      <c r="E2" s="552"/>
      <c r="F2" s="620"/>
      <c r="G2" s="620"/>
      <c r="H2" s="620"/>
      <c r="I2" s="620"/>
      <c r="J2" s="620"/>
      <c r="K2" s="620"/>
      <c r="L2" s="620"/>
      <c r="M2" s="528" t="s">
        <v>20</v>
      </c>
    </row>
    <row r="3" spans="1:18" s="23" customFormat="1" ht="15.75" customHeight="1" x14ac:dyDescent="0.4">
      <c r="B3" s="527"/>
      <c r="C3" s="527"/>
      <c r="D3" s="527"/>
      <c r="E3" s="527"/>
      <c r="F3" s="619"/>
      <c r="G3" s="619"/>
      <c r="H3" s="619"/>
      <c r="I3" s="619"/>
      <c r="J3" s="619"/>
      <c r="K3" s="619"/>
      <c r="L3" s="619"/>
      <c r="M3" s="527"/>
    </row>
    <row r="4" spans="1:18" s="24" customFormat="1" ht="15.75" customHeight="1" x14ac:dyDescent="0.35">
      <c r="B4" s="529"/>
      <c r="C4" s="529"/>
      <c r="D4" s="529"/>
      <c r="E4" s="529"/>
      <c r="F4" s="621"/>
      <c r="G4" s="621"/>
      <c r="H4" s="621"/>
      <c r="I4" s="621"/>
      <c r="J4" s="621"/>
      <c r="K4" s="621"/>
      <c r="L4" s="621"/>
      <c r="M4" s="529"/>
    </row>
    <row r="5" spans="1:18" ht="27.6" x14ac:dyDescent="0.2">
      <c r="A5" s="16"/>
      <c r="B5" s="937" t="s">
        <v>466</v>
      </c>
      <c r="C5" s="937"/>
      <c r="D5" s="937"/>
      <c r="E5" s="937"/>
      <c r="F5" s="937"/>
      <c r="G5" s="937"/>
      <c r="H5" s="937"/>
      <c r="I5" s="937"/>
      <c r="J5" s="937"/>
      <c r="K5" s="937"/>
      <c r="L5" s="937"/>
      <c r="M5" s="937"/>
    </row>
    <row r="6" spans="1:18" ht="9" customHeight="1" x14ac:dyDescent="0.2">
      <c r="A6" s="16"/>
      <c r="B6" s="124"/>
      <c r="C6" s="124"/>
      <c r="D6" s="124"/>
      <c r="E6" s="124"/>
      <c r="F6" s="124"/>
      <c r="G6" s="124"/>
      <c r="H6" s="124"/>
      <c r="I6" s="124"/>
      <c r="J6" s="124"/>
      <c r="K6" s="124"/>
      <c r="L6" s="124"/>
      <c r="M6" s="124"/>
    </row>
    <row r="7" spans="1:18" ht="11.25" customHeight="1" x14ac:dyDescent="0.2">
      <c r="A7" s="18"/>
      <c r="B7" s="484"/>
      <c r="C7" s="484"/>
      <c r="D7" s="484"/>
      <c r="E7" s="484"/>
      <c r="F7" s="484"/>
      <c r="G7" s="484"/>
      <c r="H7" s="484"/>
      <c r="I7" s="484"/>
      <c r="J7" s="484"/>
      <c r="K7" s="484"/>
      <c r="L7" s="484"/>
      <c r="M7" s="484"/>
    </row>
    <row r="8" spans="1:18" s="23" customFormat="1" ht="11.25" customHeight="1" x14ac:dyDescent="0.4">
      <c r="B8" s="527"/>
      <c r="C8" s="530"/>
      <c r="D8" s="530"/>
      <c r="E8" s="530"/>
      <c r="F8" s="530"/>
      <c r="G8" s="530"/>
      <c r="H8" s="530"/>
      <c r="I8" s="530"/>
      <c r="J8" s="530"/>
      <c r="K8" s="530"/>
      <c r="L8" s="530"/>
      <c r="M8" s="530"/>
    </row>
    <row r="9" spans="1:18" s="23" customFormat="1" ht="34.5" customHeight="1" x14ac:dyDescent="0.3">
      <c r="B9" s="622"/>
      <c r="C9" s="623" t="s">
        <v>331</v>
      </c>
      <c r="D9" s="623" t="s">
        <v>613</v>
      </c>
      <c r="E9" s="623" t="s">
        <v>332</v>
      </c>
      <c r="F9" s="623" t="s">
        <v>333</v>
      </c>
      <c r="G9" s="623" t="s">
        <v>334</v>
      </c>
      <c r="H9" s="623" t="s">
        <v>335</v>
      </c>
      <c r="I9" s="623" t="s">
        <v>336</v>
      </c>
      <c r="J9" s="623" t="s">
        <v>337</v>
      </c>
      <c r="K9" s="623" t="s">
        <v>338</v>
      </c>
      <c r="L9" s="623" t="s">
        <v>339</v>
      </c>
      <c r="M9" s="624" t="s">
        <v>340</v>
      </c>
      <c r="R9" s="67"/>
    </row>
    <row r="10" spans="1:18" s="23" customFormat="1" ht="32.25" customHeight="1" x14ac:dyDescent="0.3">
      <c r="B10" s="764" t="s">
        <v>489</v>
      </c>
      <c r="C10" s="762"/>
      <c r="D10" s="762"/>
      <c r="E10" s="762"/>
      <c r="F10" s="762"/>
      <c r="G10" s="762"/>
      <c r="H10" s="762"/>
      <c r="I10" s="762"/>
      <c r="J10" s="762"/>
      <c r="K10" s="762"/>
      <c r="L10" s="762"/>
      <c r="M10" s="763"/>
      <c r="R10" s="67"/>
    </row>
    <row r="11" spans="1:18" s="25" customFormat="1" ht="49.2" customHeight="1" x14ac:dyDescent="0.3">
      <c r="B11" s="767" t="s">
        <v>386</v>
      </c>
      <c r="C11" s="728" t="s">
        <v>341</v>
      </c>
      <c r="D11" s="728" t="s">
        <v>614</v>
      </c>
      <c r="E11" s="728">
        <v>500000000</v>
      </c>
      <c r="F11" s="728" t="s">
        <v>342</v>
      </c>
      <c r="G11" s="728" t="s">
        <v>343</v>
      </c>
      <c r="H11" s="728" t="s">
        <v>344</v>
      </c>
      <c r="I11" s="728" t="s">
        <v>345</v>
      </c>
      <c r="J11" s="729" t="s">
        <v>346</v>
      </c>
      <c r="K11" s="728" t="s">
        <v>347</v>
      </c>
      <c r="L11" s="728" t="s">
        <v>348</v>
      </c>
      <c r="M11" s="730" t="s">
        <v>349</v>
      </c>
      <c r="R11" s="68"/>
    </row>
    <row r="12" spans="1:18" s="25" customFormat="1" ht="49.2" customHeight="1" x14ac:dyDescent="0.3">
      <c r="B12" s="768" t="s">
        <v>387</v>
      </c>
      <c r="C12" s="731" t="s">
        <v>341</v>
      </c>
      <c r="D12" s="728" t="s">
        <v>614</v>
      </c>
      <c r="E12" s="731">
        <v>350000000</v>
      </c>
      <c r="F12" s="731" t="s">
        <v>350</v>
      </c>
      <c r="G12" s="731" t="s">
        <v>351</v>
      </c>
      <c r="H12" s="731" t="s">
        <v>352</v>
      </c>
      <c r="I12" s="731" t="s">
        <v>353</v>
      </c>
      <c r="J12" s="731" t="s">
        <v>354</v>
      </c>
      <c r="K12" s="731" t="s">
        <v>347</v>
      </c>
      <c r="L12" s="731" t="s">
        <v>355</v>
      </c>
      <c r="M12" s="732" t="s">
        <v>349</v>
      </c>
      <c r="R12" s="68"/>
    </row>
    <row r="13" spans="1:18" s="25" customFormat="1" ht="49.2" customHeight="1" x14ac:dyDescent="0.3">
      <c r="B13" s="769" t="s">
        <v>388</v>
      </c>
      <c r="C13" s="733" t="s">
        <v>341</v>
      </c>
      <c r="D13" s="728" t="s">
        <v>614</v>
      </c>
      <c r="E13" s="734">
        <v>500000000</v>
      </c>
      <c r="F13" s="733" t="s">
        <v>356</v>
      </c>
      <c r="G13" s="733" t="s">
        <v>357</v>
      </c>
      <c r="H13" s="733" t="s">
        <v>358</v>
      </c>
      <c r="I13" s="733" t="s">
        <v>359</v>
      </c>
      <c r="J13" s="733" t="s">
        <v>360</v>
      </c>
      <c r="K13" s="733" t="s">
        <v>347</v>
      </c>
      <c r="L13" s="733" t="s">
        <v>361</v>
      </c>
      <c r="M13" s="735" t="s">
        <v>349</v>
      </c>
      <c r="R13" s="68"/>
    </row>
    <row r="14" spans="1:18" s="25" customFormat="1" ht="49.2" customHeight="1" x14ac:dyDescent="0.3">
      <c r="B14" s="768" t="s">
        <v>389</v>
      </c>
      <c r="C14" s="731" t="s">
        <v>341</v>
      </c>
      <c r="D14" s="728" t="s">
        <v>615</v>
      </c>
      <c r="E14" s="731">
        <v>500000000</v>
      </c>
      <c r="F14" s="731" t="s">
        <v>362</v>
      </c>
      <c r="G14" s="731" t="s">
        <v>363</v>
      </c>
      <c r="H14" s="731" t="s">
        <v>364</v>
      </c>
      <c r="I14" s="731" t="s">
        <v>365</v>
      </c>
      <c r="J14" s="731" t="s">
        <v>366</v>
      </c>
      <c r="K14" s="731" t="s">
        <v>347</v>
      </c>
      <c r="L14" s="731" t="s">
        <v>367</v>
      </c>
      <c r="M14" s="732" t="s">
        <v>349</v>
      </c>
      <c r="R14" s="68"/>
    </row>
    <row r="15" spans="1:18" s="25" customFormat="1" ht="49.2" customHeight="1" x14ac:dyDescent="0.3">
      <c r="B15" s="770" t="s">
        <v>390</v>
      </c>
      <c r="C15" s="736" t="s">
        <v>341</v>
      </c>
      <c r="D15" s="728" t="s">
        <v>615</v>
      </c>
      <c r="E15" s="736">
        <v>500000000</v>
      </c>
      <c r="F15" s="736" t="s">
        <v>369</v>
      </c>
      <c r="G15" s="736" t="s">
        <v>370</v>
      </c>
      <c r="H15" s="736" t="s">
        <v>371</v>
      </c>
      <c r="I15" s="736" t="s">
        <v>372</v>
      </c>
      <c r="J15" s="736" t="s">
        <v>373</v>
      </c>
      <c r="K15" s="736" t="s">
        <v>347</v>
      </c>
      <c r="L15" s="736" t="s">
        <v>374</v>
      </c>
      <c r="M15" s="737" t="s">
        <v>349</v>
      </c>
      <c r="R15" s="68"/>
    </row>
    <row r="16" spans="1:18" s="25" customFormat="1" ht="49.2" customHeight="1" x14ac:dyDescent="0.3">
      <c r="B16" s="769" t="s">
        <v>459</v>
      </c>
      <c r="C16" s="736" t="s">
        <v>341</v>
      </c>
      <c r="D16" s="728" t="s">
        <v>616</v>
      </c>
      <c r="E16" s="736">
        <v>650000000</v>
      </c>
      <c r="F16" s="743" t="s">
        <v>458</v>
      </c>
      <c r="G16" s="742">
        <v>45490</v>
      </c>
      <c r="H16" s="742">
        <v>46951</v>
      </c>
      <c r="I16" s="743" t="s">
        <v>457</v>
      </c>
      <c r="J16" s="742">
        <v>47316</v>
      </c>
      <c r="K16" s="743" t="s">
        <v>347</v>
      </c>
      <c r="L16" s="736" t="s">
        <v>456</v>
      </c>
      <c r="M16" s="737" t="s">
        <v>349</v>
      </c>
      <c r="R16" s="68"/>
    </row>
    <row r="17" spans="2:18" s="25" customFormat="1" ht="46.5" customHeight="1" x14ac:dyDescent="0.3">
      <c r="B17" s="770" t="s">
        <v>603</v>
      </c>
      <c r="C17" s="734" t="s">
        <v>341</v>
      </c>
      <c r="D17" s="734" t="s">
        <v>616</v>
      </c>
      <c r="E17" s="734">
        <v>500000000</v>
      </c>
      <c r="F17" s="743" t="s">
        <v>604</v>
      </c>
      <c r="G17" s="738">
        <v>45811</v>
      </c>
      <c r="H17" s="738">
        <v>46724</v>
      </c>
      <c r="I17" s="743" t="s">
        <v>605</v>
      </c>
      <c r="J17" s="738">
        <v>47090</v>
      </c>
      <c r="K17" s="743" t="s">
        <v>347</v>
      </c>
      <c r="L17" s="734" t="s">
        <v>606</v>
      </c>
      <c r="M17" s="744" t="s">
        <v>349</v>
      </c>
      <c r="R17" s="68"/>
    </row>
    <row r="18" spans="2:18" s="25" customFormat="1" ht="20.25" customHeight="1" x14ac:dyDescent="0.35">
      <c r="B18" s="773"/>
      <c r="C18" s="745"/>
      <c r="D18" s="745"/>
      <c r="E18" s="745"/>
      <c r="F18" s="745"/>
      <c r="G18" s="745"/>
      <c r="H18" s="745"/>
      <c r="I18" s="745"/>
      <c r="J18" s="745"/>
      <c r="K18" s="745"/>
      <c r="L18" s="745"/>
      <c r="M18" s="746"/>
      <c r="R18" s="68"/>
    </row>
    <row r="19" spans="2:18" s="25" customFormat="1" ht="33.75" customHeight="1" x14ac:dyDescent="0.3">
      <c r="B19" s="764" t="s">
        <v>488</v>
      </c>
      <c r="C19" s="765"/>
      <c r="D19" s="765"/>
      <c r="E19" s="765"/>
      <c r="F19" s="765"/>
      <c r="G19" s="765"/>
      <c r="H19" s="765"/>
      <c r="I19" s="765"/>
      <c r="J19" s="765"/>
      <c r="K19" s="765"/>
      <c r="L19" s="765"/>
      <c r="M19" s="766"/>
      <c r="R19" s="68"/>
    </row>
    <row r="20" spans="2:18" s="25" customFormat="1" ht="49.2" customHeight="1" x14ac:dyDescent="0.3">
      <c r="B20" s="769" t="s">
        <v>391</v>
      </c>
      <c r="C20" s="731" t="s">
        <v>368</v>
      </c>
      <c r="D20" s="731" t="s">
        <v>617</v>
      </c>
      <c r="E20" s="731">
        <v>500000000</v>
      </c>
      <c r="F20" s="731" t="s">
        <v>356</v>
      </c>
      <c r="G20" s="742">
        <v>45308</v>
      </c>
      <c r="H20" s="742">
        <v>47225</v>
      </c>
      <c r="I20" s="731" t="s">
        <v>375</v>
      </c>
      <c r="J20" s="742">
        <v>414293</v>
      </c>
      <c r="K20" s="731" t="s">
        <v>347</v>
      </c>
      <c r="L20" s="731" t="s">
        <v>376</v>
      </c>
      <c r="M20" s="732" t="s">
        <v>349</v>
      </c>
      <c r="R20" s="68"/>
    </row>
    <row r="21" spans="2:18" s="25" customFormat="1" ht="49.2" customHeight="1" x14ac:dyDescent="0.3">
      <c r="B21" s="771" t="s">
        <v>472</v>
      </c>
      <c r="C21" s="733" t="s">
        <v>368</v>
      </c>
      <c r="D21" s="733" t="s">
        <v>618</v>
      </c>
      <c r="E21" s="734">
        <v>650000000</v>
      </c>
      <c r="F21" s="733" t="s">
        <v>473</v>
      </c>
      <c r="G21" s="738">
        <v>45553</v>
      </c>
      <c r="H21" s="738">
        <v>47744</v>
      </c>
      <c r="I21" s="734" t="s">
        <v>475</v>
      </c>
      <c r="J21" s="738">
        <v>49570</v>
      </c>
      <c r="K21" s="743" t="s">
        <v>347</v>
      </c>
      <c r="L21" s="734" t="s">
        <v>474</v>
      </c>
      <c r="M21" s="735" t="s">
        <v>349</v>
      </c>
      <c r="R21" s="68"/>
    </row>
    <row r="22" spans="2:18" s="25" customFormat="1" ht="18.600000000000001" customHeight="1" x14ac:dyDescent="0.35">
      <c r="B22" s="774"/>
      <c r="C22" s="747"/>
      <c r="D22" s="747"/>
      <c r="E22" s="747"/>
      <c r="F22" s="747"/>
      <c r="G22" s="747"/>
      <c r="H22" s="747"/>
      <c r="I22" s="747"/>
      <c r="J22" s="747"/>
      <c r="K22" s="747"/>
      <c r="L22" s="747"/>
      <c r="M22" s="748"/>
      <c r="R22" s="68"/>
    </row>
    <row r="23" spans="2:18" s="25" customFormat="1" ht="33" customHeight="1" x14ac:dyDescent="0.3">
      <c r="B23" s="764" t="s">
        <v>487</v>
      </c>
      <c r="C23" s="765"/>
      <c r="D23" s="765"/>
      <c r="E23" s="765"/>
      <c r="F23" s="765"/>
      <c r="G23" s="765"/>
      <c r="H23" s="765"/>
      <c r="I23" s="765"/>
      <c r="J23" s="765"/>
      <c r="K23" s="765"/>
      <c r="L23" s="765"/>
      <c r="M23" s="766"/>
      <c r="R23" s="68"/>
    </row>
    <row r="24" spans="2:18" s="25" customFormat="1" ht="48.75" customHeight="1" x14ac:dyDescent="0.3">
      <c r="B24" s="769" t="s">
        <v>392</v>
      </c>
      <c r="C24" s="731" t="s">
        <v>377</v>
      </c>
      <c r="D24" s="731" t="s">
        <v>619</v>
      </c>
      <c r="E24" s="731">
        <v>600000000</v>
      </c>
      <c r="F24" s="731" t="s">
        <v>378</v>
      </c>
      <c r="G24" s="742" t="s">
        <v>379</v>
      </c>
      <c r="H24" s="742" t="s">
        <v>380</v>
      </c>
      <c r="I24" s="731" t="s">
        <v>381</v>
      </c>
      <c r="J24" s="742" t="s">
        <v>382</v>
      </c>
      <c r="K24" s="731" t="s">
        <v>383</v>
      </c>
      <c r="L24" s="731" t="s">
        <v>384</v>
      </c>
      <c r="M24" s="732" t="s">
        <v>385</v>
      </c>
      <c r="R24" s="68"/>
    </row>
    <row r="25" spans="2:18" s="25" customFormat="1" ht="49.5" customHeight="1" x14ac:dyDescent="0.3">
      <c r="B25" s="772" t="s">
        <v>598</v>
      </c>
      <c r="C25" s="739" t="s">
        <v>377</v>
      </c>
      <c r="D25" s="739" t="s">
        <v>620</v>
      </c>
      <c r="E25" s="739">
        <v>400000000</v>
      </c>
      <c r="F25" s="739" t="s">
        <v>599</v>
      </c>
      <c r="G25" s="922">
        <v>45838</v>
      </c>
      <c r="H25" s="922">
        <v>11322</v>
      </c>
      <c r="I25" s="739" t="s">
        <v>600</v>
      </c>
      <c r="J25" s="740" t="s">
        <v>382</v>
      </c>
      <c r="K25" s="740" t="s">
        <v>601</v>
      </c>
      <c r="L25" s="740" t="s">
        <v>602</v>
      </c>
      <c r="M25" s="741" t="s">
        <v>385</v>
      </c>
      <c r="R25" s="68"/>
    </row>
    <row r="26" spans="2:18" s="26" customFormat="1" ht="11.25" customHeight="1" x14ac:dyDescent="0.4">
      <c r="B26" s="579"/>
      <c r="C26" s="558"/>
      <c r="D26" s="558"/>
      <c r="E26" s="558"/>
      <c r="F26" s="625"/>
      <c r="G26" s="625"/>
      <c r="H26" s="625"/>
      <c r="I26" s="625"/>
      <c r="J26" s="625"/>
      <c r="K26" s="625"/>
      <c r="L26" s="625"/>
      <c r="M26" s="558"/>
    </row>
    <row r="27" spans="2:18" s="26" customFormat="1" ht="16.2" customHeight="1" x14ac:dyDescent="0.35">
      <c r="B27" s="955"/>
      <c r="C27" s="954"/>
      <c r="D27" s="954"/>
      <c r="E27" s="954"/>
      <c r="F27" s="954"/>
      <c r="G27" s="954"/>
      <c r="H27" s="954"/>
      <c r="I27" s="954"/>
      <c r="J27" s="954"/>
      <c r="K27" s="954"/>
      <c r="L27" s="954"/>
      <c r="M27" s="954"/>
      <c r="N27" s="954"/>
    </row>
    <row r="28" spans="2:18" s="19" customFormat="1" ht="22.5" customHeight="1" x14ac:dyDescent="0.25">
      <c r="B28" s="956"/>
      <c r="C28" s="956"/>
      <c r="D28" s="956"/>
      <c r="E28" s="956"/>
      <c r="F28" s="956"/>
      <c r="G28" s="956"/>
      <c r="H28" s="956"/>
      <c r="I28" s="956"/>
      <c r="J28" s="956"/>
      <c r="K28" s="956"/>
      <c r="L28" s="956"/>
      <c r="M28" s="956"/>
    </row>
    <row r="31" spans="2:18" ht="15" customHeight="1" x14ac:dyDescent="0.2">
      <c r="C31" s="70"/>
      <c r="D31" s="70"/>
      <c r="E31" s="70"/>
      <c r="F31" s="102"/>
      <c r="G31" s="102"/>
      <c r="H31" s="102"/>
      <c r="I31" s="102"/>
      <c r="J31" s="102"/>
      <c r="K31" s="102"/>
      <c r="L31" s="102"/>
      <c r="M31" s="70"/>
    </row>
  </sheetData>
  <mergeCells count="3">
    <mergeCell ref="B5:M5"/>
    <mergeCell ref="B28:M28"/>
    <mergeCell ref="B27:N27"/>
  </mergeCells>
  <phoneticPr fontId="24" type="noConversion"/>
  <hyperlinks>
    <hyperlink ref="M2" location="'Cover '!A1" display="Back to Cover" xr:uid="{6A785561-1ABB-450D-922C-2DE3064F5E6A}"/>
  </hyperlinks>
  <printOptions horizontalCentered="1" verticalCentered="1"/>
  <pageMargins left="0" right="0" top="0" bottom="0" header="0" footer="0"/>
  <pageSetup paperSize="8" scale="80" orientation="landscape" r:id="rId1"/>
  <headerFooter alignWithMargins="0"/>
  <ignoredErrors>
    <ignoredError sqref="G11:L11 J25 G12:M14 G15:H15 J15 G22:M22 G24:H24 M25" twoDigitTextYear="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2DD7F-FF08-46C8-AB31-D1A159C6B2D2}">
  <sheetPr codeName="Foglio10">
    <pageSetUpPr fitToPage="1"/>
  </sheetPr>
  <dimension ref="A1:N23"/>
  <sheetViews>
    <sheetView showGridLines="0" view="pageBreakPreview" zoomScale="80" zoomScaleNormal="85" zoomScaleSheetLayoutView="80" workbookViewId="0">
      <selection activeCell="B5" sqref="B5:I5"/>
    </sheetView>
  </sheetViews>
  <sheetFormatPr defaultColWidth="9.109375" defaultRowHeight="15" customHeight="1" x14ac:dyDescent="0.2"/>
  <cols>
    <col min="1" max="1" width="2.44140625" style="20" customWidth="1"/>
    <col min="2" max="2" width="35.33203125" style="20" customWidth="1"/>
    <col min="3" max="3" width="32" style="22" customWidth="1"/>
    <col min="4" max="4" width="28.6640625" style="22" customWidth="1"/>
    <col min="5" max="8" width="28.6640625" style="103" customWidth="1"/>
    <col min="9" max="9" width="28.6640625" style="22" customWidth="1"/>
    <col min="10" max="10" width="2.44140625" style="20" customWidth="1"/>
    <col min="11" max="16384" width="9.109375" style="20"/>
  </cols>
  <sheetData>
    <row r="1" spans="1:14" s="23" customFormat="1" ht="15.75" customHeight="1" x14ac:dyDescent="0.4">
      <c r="B1" s="527"/>
      <c r="C1" s="527"/>
      <c r="D1" s="527"/>
      <c r="E1" s="619"/>
      <c r="F1" s="619"/>
      <c r="G1" s="619"/>
      <c r="H1" s="619"/>
      <c r="I1" s="527"/>
    </row>
    <row r="2" spans="1:14" s="23" customFormat="1" ht="15.75" customHeight="1" x14ac:dyDescent="0.4">
      <c r="B2" s="527"/>
      <c r="C2" s="552"/>
      <c r="D2" s="552"/>
      <c r="E2" s="620"/>
      <c r="F2" s="620"/>
      <c r="G2" s="620"/>
      <c r="H2" s="620"/>
      <c r="I2" s="528" t="s">
        <v>20</v>
      </c>
    </row>
    <row r="3" spans="1:14" s="23" customFormat="1" ht="15.75" customHeight="1" x14ac:dyDescent="0.4">
      <c r="B3" s="527"/>
      <c r="C3" s="527"/>
      <c r="D3" s="527"/>
      <c r="E3" s="619"/>
      <c r="F3" s="619"/>
      <c r="G3" s="619"/>
      <c r="H3" s="619"/>
      <c r="I3" s="527"/>
    </row>
    <row r="4" spans="1:14" s="24" customFormat="1" ht="15.75" customHeight="1" x14ac:dyDescent="0.35">
      <c r="B4" s="529"/>
      <c r="C4" s="529"/>
      <c r="D4" s="529"/>
      <c r="E4" s="621"/>
      <c r="F4" s="621"/>
      <c r="G4" s="621"/>
      <c r="H4" s="621"/>
      <c r="I4" s="529"/>
    </row>
    <row r="5" spans="1:14" ht="27.6" x14ac:dyDescent="0.2">
      <c r="A5" s="16"/>
      <c r="B5" s="937" t="s">
        <v>541</v>
      </c>
      <c r="C5" s="937"/>
      <c r="D5" s="937"/>
      <c r="E5" s="937"/>
      <c r="F5" s="937"/>
      <c r="G5" s="937"/>
      <c r="H5" s="937"/>
      <c r="I5" s="937"/>
    </row>
    <row r="6" spans="1:14" ht="9" customHeight="1" x14ac:dyDescent="0.2">
      <c r="A6" s="16"/>
      <c r="B6" s="124"/>
      <c r="C6" s="124"/>
      <c r="D6" s="124"/>
      <c r="E6" s="124"/>
      <c r="F6" s="124"/>
      <c r="G6" s="124"/>
      <c r="H6" s="124"/>
      <c r="I6" s="124"/>
    </row>
    <row r="7" spans="1:14" ht="11.25" customHeight="1" x14ac:dyDescent="0.2">
      <c r="A7" s="18"/>
      <c r="B7" s="484"/>
      <c r="C7" s="484"/>
      <c r="D7" s="484"/>
      <c r="E7" s="484"/>
      <c r="F7" s="484"/>
      <c r="G7" s="484"/>
      <c r="H7" s="484"/>
      <c r="I7" s="484"/>
    </row>
    <row r="8" spans="1:14" s="23" customFormat="1" ht="11.25" customHeight="1" x14ac:dyDescent="0.4">
      <c r="B8" s="527"/>
      <c r="C8" s="530"/>
      <c r="D8" s="530"/>
      <c r="E8" s="530"/>
      <c r="F8" s="530"/>
      <c r="G8" s="530"/>
      <c r="H8" s="530"/>
      <c r="I8" s="530"/>
    </row>
    <row r="9" spans="1:14" s="23" customFormat="1" ht="45.75" customHeight="1" x14ac:dyDescent="0.35">
      <c r="B9" s="810" t="s">
        <v>529</v>
      </c>
      <c r="C9" s="538" t="s">
        <v>525</v>
      </c>
      <c r="D9" s="538" t="s">
        <v>526</v>
      </c>
      <c r="E9" s="538" t="s">
        <v>535</v>
      </c>
      <c r="F9" s="538" t="s">
        <v>536</v>
      </c>
      <c r="G9" s="538" t="s">
        <v>523</v>
      </c>
      <c r="H9" s="538" t="s">
        <v>524</v>
      </c>
      <c r="I9" s="539" t="s">
        <v>522</v>
      </c>
      <c r="N9" s="67"/>
    </row>
    <row r="10" spans="1:14" s="23" customFormat="1" ht="32.25" customHeight="1" x14ac:dyDescent="0.3">
      <c r="B10" s="764"/>
      <c r="C10" s="762"/>
      <c r="D10" s="762"/>
      <c r="E10" s="762"/>
      <c r="F10" s="762"/>
      <c r="G10" s="762"/>
      <c r="H10" s="762"/>
      <c r="I10" s="763"/>
      <c r="N10" s="67"/>
    </row>
    <row r="11" spans="1:14" s="25" customFormat="1" ht="49.2" customHeight="1" x14ac:dyDescent="0.3">
      <c r="B11" s="801" t="s">
        <v>519</v>
      </c>
      <c r="C11" s="812">
        <v>44285</v>
      </c>
      <c r="D11" s="804" t="s">
        <v>537</v>
      </c>
      <c r="E11" s="804">
        <v>1391</v>
      </c>
      <c r="F11" s="804">
        <v>792</v>
      </c>
      <c r="G11" s="804">
        <v>391</v>
      </c>
      <c r="H11" s="804">
        <v>168</v>
      </c>
      <c r="I11" s="805" t="s">
        <v>527</v>
      </c>
      <c r="N11" s="68"/>
    </row>
    <row r="12" spans="1:14" s="25" customFormat="1" ht="49.2" customHeight="1" x14ac:dyDescent="0.3">
      <c r="B12" s="801" t="s">
        <v>520</v>
      </c>
      <c r="C12" s="812">
        <v>44420</v>
      </c>
      <c r="D12" s="804" t="s">
        <v>537</v>
      </c>
      <c r="E12" s="806">
        <v>1110</v>
      </c>
      <c r="F12" s="806">
        <v>522</v>
      </c>
      <c r="G12" s="806">
        <v>494</v>
      </c>
      <c r="H12" s="806">
        <v>173</v>
      </c>
      <c r="I12" s="807" t="s">
        <v>527</v>
      </c>
      <c r="N12" s="68"/>
    </row>
    <row r="13" spans="1:14" s="25" customFormat="1" ht="49.2" customHeight="1" x14ac:dyDescent="0.3">
      <c r="B13" s="801" t="s">
        <v>538</v>
      </c>
      <c r="C13" s="812">
        <v>44727</v>
      </c>
      <c r="D13" s="803" t="s">
        <v>539</v>
      </c>
      <c r="E13" s="806">
        <v>603</v>
      </c>
      <c r="F13" s="806">
        <v>392</v>
      </c>
      <c r="G13" s="806">
        <v>448</v>
      </c>
      <c r="H13" s="806">
        <v>313</v>
      </c>
      <c r="I13" s="807" t="s">
        <v>527</v>
      </c>
      <c r="N13" s="68"/>
    </row>
    <row r="14" spans="1:14" s="25" customFormat="1" ht="49.2" customHeight="1" x14ac:dyDescent="0.3">
      <c r="B14" s="801" t="s">
        <v>540</v>
      </c>
      <c r="C14" s="812">
        <v>44750</v>
      </c>
      <c r="D14" s="803" t="s">
        <v>454</v>
      </c>
      <c r="E14" s="806">
        <v>1498</v>
      </c>
      <c r="F14" s="806">
        <v>377</v>
      </c>
      <c r="G14" s="806">
        <v>978</v>
      </c>
      <c r="H14" s="813">
        <v>238</v>
      </c>
      <c r="I14" s="811" t="s">
        <v>530</v>
      </c>
      <c r="N14" s="68"/>
    </row>
    <row r="15" spans="1:14" s="25" customFormat="1" ht="49.2" customHeight="1" x14ac:dyDescent="0.3">
      <c r="B15" s="801" t="s">
        <v>521</v>
      </c>
      <c r="C15" s="812">
        <v>44865</v>
      </c>
      <c r="D15" s="803" t="s">
        <v>537</v>
      </c>
      <c r="E15" s="806">
        <v>541</v>
      </c>
      <c r="F15" s="806">
        <v>246</v>
      </c>
      <c r="G15" s="806">
        <v>238</v>
      </c>
      <c r="H15" s="806">
        <v>103</v>
      </c>
      <c r="I15" s="807" t="s">
        <v>528</v>
      </c>
      <c r="N15" s="68"/>
    </row>
    <row r="16" spans="1:14" s="25" customFormat="1" ht="49.2" customHeight="1" x14ac:dyDescent="0.3">
      <c r="B16" s="801" t="s">
        <v>532</v>
      </c>
      <c r="C16" s="812">
        <v>44915</v>
      </c>
      <c r="D16" s="803" t="s">
        <v>537</v>
      </c>
      <c r="E16" s="806">
        <v>1412</v>
      </c>
      <c r="F16" s="806">
        <v>738</v>
      </c>
      <c r="G16" s="806">
        <v>1009</v>
      </c>
      <c r="H16" s="806">
        <v>397</v>
      </c>
      <c r="I16" s="807" t="s">
        <v>533</v>
      </c>
      <c r="N16" s="68"/>
    </row>
    <row r="17" spans="2:14" s="25" customFormat="1" ht="49.5" customHeight="1" x14ac:dyDescent="0.3">
      <c r="B17" s="802" t="s">
        <v>531</v>
      </c>
      <c r="C17" s="814">
        <v>45657</v>
      </c>
      <c r="D17" s="808" t="s">
        <v>537</v>
      </c>
      <c r="E17" s="808">
        <v>2084</v>
      </c>
      <c r="F17" s="808">
        <v>1008</v>
      </c>
      <c r="G17" s="808">
        <v>1844</v>
      </c>
      <c r="H17" s="808">
        <v>890</v>
      </c>
      <c r="I17" s="809" t="s">
        <v>534</v>
      </c>
      <c r="N17" s="68"/>
    </row>
    <row r="18" spans="2:14" s="26" customFormat="1" ht="11.25" customHeight="1" x14ac:dyDescent="0.4">
      <c r="B18" s="579"/>
      <c r="C18" s="558"/>
      <c r="D18" s="558"/>
      <c r="E18" s="625"/>
      <c r="F18" s="625"/>
      <c r="G18" s="625"/>
      <c r="H18" s="625"/>
      <c r="I18" s="558"/>
    </row>
    <row r="19" spans="2:14" s="26" customFormat="1" ht="16.2" customHeight="1" x14ac:dyDescent="0.35">
      <c r="B19" s="955"/>
      <c r="C19" s="954"/>
      <c r="D19" s="954"/>
      <c r="E19" s="954"/>
      <c r="F19" s="954"/>
      <c r="G19" s="954"/>
      <c r="H19" s="954"/>
      <c r="I19" s="954"/>
      <c r="J19" s="954"/>
    </row>
    <row r="20" spans="2:14" s="19" customFormat="1" ht="22.5" customHeight="1" x14ac:dyDescent="0.25">
      <c r="B20" s="956"/>
      <c r="C20" s="956"/>
      <c r="D20" s="956"/>
      <c r="E20" s="956"/>
      <c r="F20" s="956"/>
      <c r="G20" s="956"/>
      <c r="H20" s="956"/>
      <c r="I20" s="956"/>
    </row>
    <row r="23" spans="2:14" ht="15" customHeight="1" x14ac:dyDescent="0.2">
      <c r="C23" s="70"/>
      <c r="D23" s="70"/>
      <c r="E23" s="102"/>
      <c r="F23" s="102"/>
      <c r="G23" s="102"/>
      <c r="H23" s="102"/>
      <c r="I23" s="70"/>
    </row>
  </sheetData>
  <mergeCells count="3">
    <mergeCell ref="B5:I5"/>
    <mergeCell ref="B19:J19"/>
    <mergeCell ref="B20:I20"/>
  </mergeCells>
  <hyperlinks>
    <hyperlink ref="I2" location="'Cover '!A1" display="Back to Cover" xr:uid="{5F607C3F-F0BF-45E7-A048-5E0A13310F10}"/>
  </hyperlinks>
  <printOptions horizontalCentered="1" verticalCentered="1"/>
  <pageMargins left="0" right="0" top="0" bottom="0" header="0" footer="0"/>
  <pageSetup paperSize="8" scale="88"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pageSetUpPr fitToPage="1"/>
  </sheetPr>
  <dimension ref="A1:T57"/>
  <sheetViews>
    <sheetView showGridLines="0" view="pageBreakPreview" zoomScale="85" zoomScaleNormal="80" zoomScaleSheetLayoutView="85" workbookViewId="0">
      <pane xSplit="2" ySplit="10" topLeftCell="D11" activePane="bottomRight" state="frozen"/>
      <selection pane="topRight" activeCell="C1" sqref="C1"/>
      <selection pane="bottomLeft" activeCell="A11" sqref="A11"/>
      <selection pane="bottomRight" activeCell="B5" sqref="B5:L5"/>
    </sheetView>
  </sheetViews>
  <sheetFormatPr defaultColWidth="9.109375" defaultRowHeight="13.8" x14ac:dyDescent="0.3"/>
  <cols>
    <col min="1" max="1" width="2.44140625" style="2" customWidth="1"/>
    <col min="2" max="2" width="65.5546875" style="2" customWidth="1"/>
    <col min="3" max="8" width="16.5546875" style="2" customWidth="1"/>
    <col min="9" max="11" width="19.88671875" style="2" customWidth="1"/>
    <col min="12" max="12" width="20" style="2" customWidth="1"/>
    <col min="13" max="13" width="2.44140625" style="2" customWidth="1"/>
    <col min="14" max="14" width="12.44140625" style="2" bestFit="1" customWidth="1"/>
    <col min="15" max="15" width="9.109375" style="2"/>
    <col min="16" max="16" width="13.5546875" style="2" bestFit="1" customWidth="1"/>
    <col min="17" max="17" width="13.88671875" style="2" customWidth="1"/>
    <col min="18" max="16384" width="9.109375" style="2"/>
  </cols>
  <sheetData>
    <row r="1" spans="1:20" ht="15.75" customHeight="1" x14ac:dyDescent="0.35">
      <c r="B1" s="626"/>
      <c r="C1" s="626"/>
      <c r="D1" s="626"/>
      <c r="E1" s="626"/>
      <c r="F1" s="626"/>
      <c r="G1" s="626"/>
      <c r="H1" s="626"/>
      <c r="I1" s="626"/>
      <c r="J1" s="626"/>
      <c r="K1" s="626"/>
      <c r="L1" s="626"/>
    </row>
    <row r="2" spans="1:20" ht="15.75" customHeight="1" x14ac:dyDescent="0.35">
      <c r="B2" s="626"/>
      <c r="C2" s="120"/>
      <c r="D2" s="120"/>
      <c r="E2" s="120"/>
      <c r="F2" s="120"/>
      <c r="G2" s="120"/>
      <c r="H2" s="120"/>
      <c r="I2" s="120"/>
      <c r="J2" s="120"/>
      <c r="K2" s="120"/>
      <c r="L2" s="119" t="s">
        <v>20</v>
      </c>
    </row>
    <row r="3" spans="1:20" ht="15.75" customHeight="1" x14ac:dyDescent="0.35">
      <c r="B3" s="626"/>
      <c r="C3" s="626"/>
      <c r="D3" s="626"/>
      <c r="E3" s="626"/>
      <c r="F3" s="626"/>
      <c r="G3" s="626"/>
      <c r="H3" s="626"/>
      <c r="I3" s="626"/>
      <c r="J3" s="626"/>
      <c r="K3" s="626"/>
      <c r="L3" s="626"/>
    </row>
    <row r="4" spans="1:20" ht="15.75" customHeight="1" x14ac:dyDescent="0.35">
      <c r="B4" s="626"/>
      <c r="C4" s="626"/>
      <c r="D4" s="626"/>
      <c r="E4" s="626"/>
      <c r="F4" s="626"/>
      <c r="G4" s="626"/>
      <c r="H4" s="626"/>
      <c r="I4" s="626"/>
      <c r="J4" s="626"/>
      <c r="K4" s="626"/>
      <c r="L4" s="626"/>
    </row>
    <row r="5" spans="1:20" ht="27.6" x14ac:dyDescent="0.3">
      <c r="A5" s="16"/>
      <c r="B5" s="937" t="s">
        <v>16</v>
      </c>
      <c r="C5" s="937"/>
      <c r="D5" s="937"/>
      <c r="E5" s="937"/>
      <c r="F5" s="937"/>
      <c r="G5" s="937"/>
      <c r="H5" s="937"/>
      <c r="I5" s="937"/>
      <c r="J5" s="937"/>
      <c r="K5" s="937"/>
      <c r="L5" s="937"/>
    </row>
    <row r="6" spans="1:20" s="20" customFormat="1" ht="12" customHeight="1" x14ac:dyDescent="0.2">
      <c r="A6" s="16"/>
      <c r="B6" s="124"/>
      <c r="C6" s="124"/>
      <c r="D6" s="124"/>
      <c r="E6" s="124"/>
      <c r="F6" s="124"/>
      <c r="G6" s="124"/>
      <c r="H6" s="124"/>
      <c r="I6" s="124"/>
      <c r="J6" s="124"/>
      <c r="K6" s="124"/>
      <c r="L6" s="124"/>
    </row>
    <row r="7" spans="1:20" ht="12" customHeight="1" x14ac:dyDescent="0.35">
      <c r="B7" s="626"/>
      <c r="C7" s="125"/>
      <c r="D7" s="125"/>
      <c r="E7" s="125"/>
      <c r="F7" s="125"/>
      <c r="G7" s="125"/>
      <c r="H7" s="125"/>
      <c r="I7" s="125"/>
      <c r="J7" s="125"/>
      <c r="K7" s="125"/>
      <c r="L7" s="125"/>
    </row>
    <row r="8" spans="1:20" ht="12" customHeight="1" x14ac:dyDescent="0.35">
      <c r="B8" s="626"/>
      <c r="C8" s="125"/>
      <c r="D8" s="125"/>
      <c r="E8" s="125"/>
      <c r="F8" s="125"/>
      <c r="G8" s="125"/>
      <c r="H8" s="125"/>
      <c r="I8" s="125"/>
      <c r="J8" s="125"/>
      <c r="K8" s="125"/>
      <c r="L8" s="125"/>
    </row>
    <row r="9" spans="1:20" ht="4.95" customHeight="1" x14ac:dyDescent="0.35">
      <c r="B9" s="626"/>
      <c r="C9" s="626"/>
      <c r="D9" s="626"/>
      <c r="E9" s="626"/>
      <c r="F9" s="626"/>
      <c r="G9" s="626"/>
      <c r="H9" s="626"/>
      <c r="I9" s="626"/>
      <c r="J9" s="626"/>
      <c r="K9" s="626"/>
      <c r="L9" s="626"/>
    </row>
    <row r="10" spans="1:20" ht="31.5" customHeight="1" x14ac:dyDescent="0.3">
      <c r="B10" s="636" t="s">
        <v>305</v>
      </c>
      <c r="C10" s="311">
        <v>45016</v>
      </c>
      <c r="D10" s="311">
        <v>45107</v>
      </c>
      <c r="E10" s="311">
        <v>45199</v>
      </c>
      <c r="F10" s="311">
        <v>45291</v>
      </c>
      <c r="G10" s="311">
        <v>45382</v>
      </c>
      <c r="H10" s="311">
        <v>45473</v>
      </c>
      <c r="I10" s="311">
        <v>45565</v>
      </c>
      <c r="J10" s="311">
        <v>45657</v>
      </c>
      <c r="K10" s="327">
        <v>45747</v>
      </c>
      <c r="L10" s="312">
        <v>45838</v>
      </c>
    </row>
    <row r="11" spans="1:20" ht="20.25" customHeight="1" x14ac:dyDescent="0.3">
      <c r="B11" s="274" t="s">
        <v>50</v>
      </c>
      <c r="C11" s="302">
        <v>403</v>
      </c>
      <c r="D11" s="302">
        <v>403</v>
      </c>
      <c r="E11" s="301">
        <v>402</v>
      </c>
      <c r="F11" s="302">
        <v>394</v>
      </c>
      <c r="G11" s="302">
        <v>391</v>
      </c>
      <c r="H11" s="301">
        <v>386</v>
      </c>
      <c r="I11" s="301">
        <v>384</v>
      </c>
      <c r="J11" s="301">
        <v>384</v>
      </c>
      <c r="K11" s="895">
        <v>384</v>
      </c>
      <c r="L11" s="313">
        <v>384</v>
      </c>
    </row>
    <row r="12" spans="1:20" ht="21" customHeight="1" x14ac:dyDescent="0.3">
      <c r="B12" s="669" t="s">
        <v>9</v>
      </c>
      <c r="C12" s="670">
        <v>387</v>
      </c>
      <c r="D12" s="670">
        <v>387</v>
      </c>
      <c r="E12" s="516">
        <v>386</v>
      </c>
      <c r="F12" s="670">
        <v>378</v>
      </c>
      <c r="G12" s="670">
        <v>375</v>
      </c>
      <c r="H12" s="516">
        <v>371</v>
      </c>
      <c r="I12" s="516">
        <v>368</v>
      </c>
      <c r="J12" s="516">
        <v>368</v>
      </c>
      <c r="K12" s="519">
        <v>368</v>
      </c>
      <c r="L12" s="517">
        <v>368</v>
      </c>
    </row>
    <row r="13" spans="1:20" ht="21" customHeight="1" x14ac:dyDescent="0.3">
      <c r="B13" s="668" t="s">
        <v>10</v>
      </c>
      <c r="C13" s="183">
        <v>16</v>
      </c>
      <c r="D13" s="183">
        <v>16</v>
      </c>
      <c r="E13" s="182">
        <v>16</v>
      </c>
      <c r="F13" s="183">
        <v>16</v>
      </c>
      <c r="G13" s="183">
        <v>16</v>
      </c>
      <c r="H13" s="182">
        <v>16</v>
      </c>
      <c r="I13" s="182">
        <v>16</v>
      </c>
      <c r="J13" s="182">
        <v>16</v>
      </c>
      <c r="K13" s="832">
        <v>16</v>
      </c>
      <c r="L13" s="215">
        <v>16</v>
      </c>
    </row>
    <row r="14" spans="1:20" ht="18" customHeight="1" x14ac:dyDescent="0.3">
      <c r="B14" s="667"/>
      <c r="C14" s="628"/>
      <c r="D14" s="628"/>
      <c r="E14" s="654"/>
      <c r="F14" s="628"/>
      <c r="G14" s="628"/>
      <c r="H14" s="654"/>
      <c r="I14" s="654"/>
      <c r="J14" s="654"/>
      <c r="K14" s="913"/>
      <c r="L14" s="655"/>
      <c r="O14" s="55"/>
      <c r="P14" s="57"/>
      <c r="Q14" s="57"/>
      <c r="R14" s="57"/>
      <c r="S14" s="57"/>
      <c r="T14" s="4"/>
    </row>
    <row r="15" spans="1:20" ht="18" customHeight="1" x14ac:dyDescent="0.3">
      <c r="B15" s="666" t="s">
        <v>38</v>
      </c>
      <c r="C15" s="656">
        <v>0</v>
      </c>
      <c r="D15" s="656">
        <v>0</v>
      </c>
      <c r="E15" s="657">
        <v>0</v>
      </c>
      <c r="F15" s="656">
        <v>0</v>
      </c>
      <c r="G15" s="656">
        <v>0</v>
      </c>
      <c r="H15" s="657">
        <v>0</v>
      </c>
      <c r="I15" s="657">
        <v>0</v>
      </c>
      <c r="J15" s="657">
        <v>0</v>
      </c>
      <c r="K15" s="914">
        <v>0</v>
      </c>
      <c r="L15" s="658">
        <v>0</v>
      </c>
      <c r="O15" s="55"/>
      <c r="P15" s="56"/>
      <c r="Q15" s="56"/>
      <c r="R15" s="56"/>
      <c r="S15" s="56"/>
    </row>
    <row r="16" spans="1:20" ht="15" x14ac:dyDescent="0.35">
      <c r="B16" s="627"/>
      <c r="C16" s="627"/>
      <c r="D16" s="627"/>
      <c r="E16" s="627"/>
      <c r="F16" s="627"/>
      <c r="G16" s="627"/>
      <c r="H16" s="627"/>
      <c r="I16" s="627"/>
      <c r="J16" s="627"/>
      <c r="K16" s="627"/>
      <c r="L16" s="627"/>
    </row>
    <row r="17" spans="2:16" ht="15" x14ac:dyDescent="0.35">
      <c r="B17" s="627"/>
      <c r="C17" s="627"/>
      <c r="D17" s="627"/>
      <c r="E17" s="627"/>
      <c r="F17" s="627"/>
      <c r="G17" s="627"/>
      <c r="H17" s="627"/>
      <c r="I17" s="627"/>
      <c r="J17" s="627"/>
      <c r="K17" s="627"/>
      <c r="L17" s="627"/>
    </row>
    <row r="18" spans="2:16" ht="31.5" customHeight="1" x14ac:dyDescent="0.3">
      <c r="B18" s="636" t="s">
        <v>302</v>
      </c>
      <c r="C18" s="311">
        <v>45016</v>
      </c>
      <c r="D18" s="311">
        <v>45107</v>
      </c>
      <c r="E18" s="311">
        <v>45199</v>
      </c>
      <c r="F18" s="311">
        <v>45291</v>
      </c>
      <c r="G18" s="311">
        <v>45382</v>
      </c>
      <c r="H18" s="311">
        <v>45473</v>
      </c>
      <c r="I18" s="311">
        <v>45565</v>
      </c>
      <c r="J18" s="311">
        <v>45657</v>
      </c>
      <c r="K18" s="327">
        <v>45747</v>
      </c>
      <c r="L18" s="312">
        <v>45838</v>
      </c>
    </row>
    <row r="19" spans="2:16" s="4" customFormat="1" ht="21" customHeight="1" x14ac:dyDescent="0.3">
      <c r="B19" s="274" t="s">
        <v>14</v>
      </c>
      <c r="C19" s="302">
        <v>8802.0709999999999</v>
      </c>
      <c r="D19" s="302">
        <v>8898.2250000000004</v>
      </c>
      <c r="E19" s="301">
        <v>8572.158179</v>
      </c>
      <c r="F19" s="302">
        <v>8087.1549999999997</v>
      </c>
      <c r="G19" s="302">
        <v>7917.56</v>
      </c>
      <c r="H19" s="301">
        <v>7906.4581790000002</v>
      </c>
      <c r="I19" s="301">
        <v>7912.4197180000001</v>
      </c>
      <c r="J19" s="301">
        <v>7761.4197180000001</v>
      </c>
      <c r="K19" s="895">
        <v>7771.6697180000001</v>
      </c>
      <c r="L19" s="313">
        <v>7753.3697179999999</v>
      </c>
      <c r="N19" s="86"/>
      <c r="O19" s="86"/>
    </row>
    <row r="20" spans="2:16" ht="21" customHeight="1" x14ac:dyDescent="0.3">
      <c r="B20" s="659" t="s">
        <v>50</v>
      </c>
      <c r="C20" s="660">
        <v>8742.0709999999999</v>
      </c>
      <c r="D20" s="660">
        <v>8830.2250000000004</v>
      </c>
      <c r="E20" s="661">
        <v>8537.158179</v>
      </c>
      <c r="F20" s="660">
        <v>8053.1549999999997</v>
      </c>
      <c r="G20" s="660">
        <v>7883.56</v>
      </c>
      <c r="H20" s="661">
        <v>7872.4581790000002</v>
      </c>
      <c r="I20" s="661">
        <v>7878.4197180000001</v>
      </c>
      <c r="J20" s="661">
        <v>7734.4197180000001</v>
      </c>
      <c r="K20" s="915">
        <v>7744.6697180000001</v>
      </c>
      <c r="L20" s="678">
        <v>7726.3697179999999</v>
      </c>
      <c r="O20" s="66"/>
    </row>
    <row r="21" spans="2:16" ht="21" customHeight="1" x14ac:dyDescent="0.3">
      <c r="B21" s="653" t="s">
        <v>9</v>
      </c>
      <c r="C21" s="302">
        <v>8237.4750000000004</v>
      </c>
      <c r="D21" s="302">
        <v>8234.375</v>
      </c>
      <c r="E21" s="301">
        <v>8166.375</v>
      </c>
      <c r="F21" s="302">
        <v>7672.375</v>
      </c>
      <c r="G21" s="302">
        <v>7501.4800000000005</v>
      </c>
      <c r="H21" s="301">
        <v>7489.4750000000004</v>
      </c>
      <c r="I21" s="301">
        <v>7495.4750000000004</v>
      </c>
      <c r="J21" s="301">
        <v>7355.9750000000004</v>
      </c>
      <c r="K21" s="895">
        <v>7367.9750000000004</v>
      </c>
      <c r="L21" s="313">
        <v>7356.9750000000004</v>
      </c>
      <c r="N21" s="66"/>
      <c r="O21" s="66"/>
    </row>
    <row r="22" spans="2:16" ht="21" customHeight="1" x14ac:dyDescent="0.3">
      <c r="B22" s="284" t="s">
        <v>39</v>
      </c>
      <c r="C22" s="231">
        <v>7842.1</v>
      </c>
      <c r="D22" s="231">
        <v>7822.1</v>
      </c>
      <c r="E22" s="239">
        <v>7802.1</v>
      </c>
      <c r="F22" s="231">
        <v>7379.1</v>
      </c>
      <c r="G22" s="231">
        <v>7204.6</v>
      </c>
      <c r="H22" s="239">
        <v>7181.6</v>
      </c>
      <c r="I22" s="239">
        <v>7184.6</v>
      </c>
      <c r="J22" s="239">
        <v>7022.6</v>
      </c>
      <c r="K22" s="900">
        <v>7021.6</v>
      </c>
      <c r="L22" s="315">
        <v>6990.6</v>
      </c>
      <c r="O22" s="66"/>
    </row>
    <row r="23" spans="2:16" ht="21" customHeight="1" x14ac:dyDescent="0.3">
      <c r="B23" s="662" t="s">
        <v>15</v>
      </c>
      <c r="C23" s="663">
        <v>395.375</v>
      </c>
      <c r="D23" s="663">
        <v>412.27499999999998</v>
      </c>
      <c r="E23" s="664">
        <v>364.27499999999998</v>
      </c>
      <c r="F23" s="663">
        <v>293.27499999999998</v>
      </c>
      <c r="G23" s="663">
        <v>296.88</v>
      </c>
      <c r="H23" s="664">
        <v>307.875</v>
      </c>
      <c r="I23" s="664">
        <v>310.875</v>
      </c>
      <c r="J23" s="664">
        <v>333.375</v>
      </c>
      <c r="K23" s="916">
        <v>346.375</v>
      </c>
      <c r="L23" s="665">
        <v>366.375</v>
      </c>
      <c r="O23" s="66"/>
    </row>
    <row r="24" spans="2:16" ht="21" customHeight="1" x14ac:dyDescent="0.3">
      <c r="B24" s="653" t="s">
        <v>44</v>
      </c>
      <c r="C24" s="302">
        <v>504.59599999999995</v>
      </c>
      <c r="D24" s="302">
        <v>595.85</v>
      </c>
      <c r="E24" s="301">
        <v>370.7831789999999</v>
      </c>
      <c r="F24" s="302">
        <v>380.77999999999992</v>
      </c>
      <c r="G24" s="302">
        <v>382.07999999999993</v>
      </c>
      <c r="H24" s="301">
        <v>382.98317899999989</v>
      </c>
      <c r="I24" s="301">
        <v>382.94471799999991</v>
      </c>
      <c r="J24" s="301">
        <v>378.44471799999991</v>
      </c>
      <c r="K24" s="895">
        <v>376.69471799999991</v>
      </c>
      <c r="L24" s="313">
        <v>369.39471799999995</v>
      </c>
      <c r="O24" s="66"/>
      <c r="P24" s="66"/>
    </row>
    <row r="25" spans="2:16" ht="21" customHeight="1" x14ac:dyDescent="0.3">
      <c r="B25" s="317" t="s">
        <v>51</v>
      </c>
      <c r="C25" s="231">
        <v>43</v>
      </c>
      <c r="D25" s="231">
        <v>52</v>
      </c>
      <c r="E25" s="239">
        <v>35</v>
      </c>
      <c r="F25" s="231">
        <v>34</v>
      </c>
      <c r="G25" s="231">
        <v>34</v>
      </c>
      <c r="H25" s="239">
        <v>34</v>
      </c>
      <c r="I25" s="239">
        <v>34</v>
      </c>
      <c r="J25" s="239">
        <v>27</v>
      </c>
      <c r="K25" s="900">
        <v>27</v>
      </c>
      <c r="L25" s="315">
        <v>27</v>
      </c>
      <c r="N25" s="6"/>
      <c r="O25" s="66"/>
    </row>
    <row r="26" spans="2:16" ht="21" customHeight="1" x14ac:dyDescent="0.3">
      <c r="B26" s="639" t="s">
        <v>559</v>
      </c>
      <c r="C26" s="650">
        <v>17</v>
      </c>
      <c r="D26" s="650">
        <v>16</v>
      </c>
      <c r="E26" s="651">
        <v>0</v>
      </c>
      <c r="F26" s="650">
        <v>0</v>
      </c>
      <c r="G26" s="650">
        <v>0</v>
      </c>
      <c r="H26" s="651">
        <v>0</v>
      </c>
      <c r="I26" s="651">
        <v>0</v>
      </c>
      <c r="J26" s="651">
        <v>0</v>
      </c>
      <c r="K26" s="917">
        <v>0</v>
      </c>
      <c r="L26" s="652">
        <v>0</v>
      </c>
    </row>
    <row r="27" spans="2:16" ht="12.75" customHeight="1" x14ac:dyDescent="0.3">
      <c r="B27" s="121"/>
      <c r="C27" s="629"/>
      <c r="D27" s="629"/>
      <c r="E27" s="629"/>
      <c r="F27" s="629"/>
      <c r="G27" s="629"/>
      <c r="H27" s="629"/>
      <c r="I27" s="629"/>
      <c r="J27" s="629"/>
      <c r="K27" s="629"/>
      <c r="L27" s="629"/>
    </row>
    <row r="28" spans="2:16" s="3" customFormat="1" ht="12.75" customHeight="1" x14ac:dyDescent="0.3">
      <c r="B28" s="630"/>
      <c r="C28" s="631"/>
      <c r="D28" s="631"/>
      <c r="E28" s="631"/>
      <c r="F28" s="631"/>
      <c r="G28" s="631"/>
      <c r="H28" s="631"/>
      <c r="I28" s="631"/>
      <c r="J28" s="631"/>
      <c r="K28" s="631"/>
      <c r="L28" s="631"/>
    </row>
    <row r="29" spans="2:16" ht="31.5" customHeight="1" x14ac:dyDescent="0.3">
      <c r="B29" s="636" t="s">
        <v>303</v>
      </c>
      <c r="C29" s="311">
        <v>45016</v>
      </c>
      <c r="D29" s="311">
        <v>45107</v>
      </c>
      <c r="E29" s="311">
        <v>45199</v>
      </c>
      <c r="F29" s="311">
        <v>45291</v>
      </c>
      <c r="G29" s="311">
        <v>45382</v>
      </c>
      <c r="H29" s="311">
        <v>45473</v>
      </c>
      <c r="I29" s="311">
        <v>45565</v>
      </c>
      <c r="J29" s="311">
        <v>45657</v>
      </c>
      <c r="K29" s="327">
        <v>45747</v>
      </c>
      <c r="L29" s="312">
        <v>45838</v>
      </c>
      <c r="N29" s="48"/>
    </row>
    <row r="30" spans="2:16" s="3" customFormat="1" ht="38.25" customHeight="1" x14ac:dyDescent="0.3">
      <c r="B30" s="648" t="s">
        <v>496</v>
      </c>
      <c r="C30" s="231">
        <v>1250367223</v>
      </c>
      <c r="D30" s="231">
        <v>1250367223</v>
      </c>
      <c r="E30" s="239">
        <v>1250367223</v>
      </c>
      <c r="F30" s="231">
        <v>1250367223</v>
      </c>
      <c r="G30" s="231">
        <v>1250367223</v>
      </c>
      <c r="H30" s="239">
        <v>1250367223</v>
      </c>
      <c r="I30" s="239">
        <v>1250367223</v>
      </c>
      <c r="J30" s="239">
        <v>1250367223</v>
      </c>
      <c r="K30" s="900">
        <v>1250367223</v>
      </c>
      <c r="L30" s="315">
        <v>1250367223</v>
      </c>
    </row>
    <row r="31" spans="2:16" s="3" customFormat="1" ht="38.25" customHeight="1" x14ac:dyDescent="0.3">
      <c r="B31" s="648" t="s">
        <v>497</v>
      </c>
      <c r="C31" s="231">
        <v>1249995345</v>
      </c>
      <c r="D31" s="231">
        <v>1249341330.9999998</v>
      </c>
      <c r="E31" s="231">
        <v>1243964830</v>
      </c>
      <c r="F31" s="231">
        <v>1245122198</v>
      </c>
      <c r="G31" s="231">
        <v>1245893686</v>
      </c>
      <c r="H31" s="239">
        <v>1245212023</v>
      </c>
      <c r="I31" s="239">
        <v>1246622609</v>
      </c>
      <c r="J31" s="239">
        <v>1246037681</v>
      </c>
      <c r="K31" s="900">
        <v>1247448117</v>
      </c>
      <c r="L31" s="315">
        <v>1247575412</v>
      </c>
    </row>
    <row r="32" spans="2:16" s="3" customFormat="1" ht="38.25" customHeight="1" x14ac:dyDescent="0.3">
      <c r="B32" s="648" t="s">
        <v>498</v>
      </c>
      <c r="C32" s="231">
        <v>1250020909.8142855</v>
      </c>
      <c r="D32" s="231">
        <v>1250054238.8295112</v>
      </c>
      <c r="E32" s="239">
        <v>1249777043.4871008</v>
      </c>
      <c r="F32" s="231">
        <v>1248386765.5779128</v>
      </c>
      <c r="G32" s="231">
        <v>1245490625.968852</v>
      </c>
      <c r="H32" s="239">
        <v>1245564731.0000029</v>
      </c>
      <c r="I32" s="239">
        <v>1245964394.581085</v>
      </c>
      <c r="J32" s="239">
        <v>1246145867.6645174</v>
      </c>
      <c r="K32" s="900">
        <v>1246922860.2666662</v>
      </c>
      <c r="L32" s="315">
        <v>1247341298.1991763</v>
      </c>
      <c r="N32" s="5"/>
    </row>
    <row r="33" spans="2:17" s="3" customFormat="1" ht="38.25" customHeight="1" x14ac:dyDescent="0.3">
      <c r="B33" s="649" t="s">
        <v>499</v>
      </c>
      <c r="C33" s="650">
        <v>1250020909.8142855</v>
      </c>
      <c r="D33" s="650">
        <v>1250054238.8295112</v>
      </c>
      <c r="E33" s="651">
        <v>1249777043.4871008</v>
      </c>
      <c r="F33" s="650">
        <v>1248386765.5779128</v>
      </c>
      <c r="G33" s="650">
        <v>1245490625.968852</v>
      </c>
      <c r="H33" s="651">
        <v>1245564731.0000029</v>
      </c>
      <c r="I33" s="651">
        <v>1245964394.581085</v>
      </c>
      <c r="J33" s="651">
        <v>1246145867.6645174</v>
      </c>
      <c r="K33" s="917">
        <v>1246922860.2666662</v>
      </c>
      <c r="L33" s="652">
        <v>1247341298.1991763</v>
      </c>
    </row>
    <row r="34" spans="2:17" s="3" customFormat="1" ht="10.5" customHeight="1" x14ac:dyDescent="0.4">
      <c r="B34" s="632"/>
      <c r="C34" s="633"/>
      <c r="D34" s="633"/>
      <c r="E34" s="633"/>
      <c r="F34" s="633"/>
      <c r="G34" s="633"/>
      <c r="H34" s="633"/>
      <c r="I34" s="633"/>
      <c r="J34" s="633"/>
      <c r="K34" s="633"/>
      <c r="L34" s="633"/>
    </row>
    <row r="35" spans="2:17" s="3" customFormat="1" ht="15.75" customHeight="1" x14ac:dyDescent="0.4">
      <c r="B35" s="121" t="s">
        <v>490</v>
      </c>
      <c r="C35" s="633"/>
      <c r="D35" s="633"/>
      <c r="E35" s="633"/>
      <c r="F35" s="633"/>
      <c r="G35" s="633"/>
      <c r="H35" s="633"/>
      <c r="I35" s="633"/>
      <c r="J35" s="633"/>
      <c r="K35" s="633"/>
      <c r="L35" s="633"/>
    </row>
    <row r="36" spans="2:17" s="3" customFormat="1" ht="15.75" customHeight="1" x14ac:dyDescent="0.4">
      <c r="B36" s="121" t="s">
        <v>495</v>
      </c>
      <c r="C36" s="633"/>
      <c r="D36" s="633"/>
      <c r="E36" s="633"/>
      <c r="F36" s="633"/>
      <c r="G36" s="633"/>
      <c r="H36" s="633"/>
      <c r="I36" s="633"/>
      <c r="J36" s="633"/>
      <c r="K36" s="633"/>
      <c r="L36" s="633"/>
    </row>
    <row r="37" spans="2:17" s="3" customFormat="1" ht="15.75" customHeight="1" x14ac:dyDescent="0.4">
      <c r="B37" s="121" t="s">
        <v>491</v>
      </c>
      <c r="C37" s="633"/>
      <c r="D37" s="633"/>
      <c r="E37" s="633"/>
      <c r="F37" s="633"/>
      <c r="G37" s="633"/>
      <c r="H37" s="633"/>
      <c r="I37" s="633"/>
      <c r="J37" s="633"/>
      <c r="K37" s="633"/>
      <c r="L37" s="633"/>
    </row>
    <row r="38" spans="2:17" s="3" customFormat="1" ht="15.75" customHeight="1" x14ac:dyDescent="0.4">
      <c r="B38" s="121" t="s">
        <v>492</v>
      </c>
      <c r="C38" s="633"/>
      <c r="D38" s="633"/>
      <c r="E38" s="633"/>
      <c r="F38" s="633"/>
      <c r="G38" s="633"/>
      <c r="H38" s="633"/>
      <c r="I38" s="633"/>
      <c r="J38" s="633"/>
      <c r="K38" s="633"/>
      <c r="L38" s="633"/>
    </row>
    <row r="39" spans="2:17" s="3" customFormat="1" ht="15.75" customHeight="1" x14ac:dyDescent="0.4">
      <c r="B39" s="121"/>
      <c r="C39" s="633"/>
      <c r="D39" s="633"/>
      <c r="E39" s="633"/>
      <c r="F39" s="633"/>
      <c r="G39" s="633"/>
      <c r="H39" s="633"/>
      <c r="I39" s="633"/>
      <c r="J39" s="633"/>
      <c r="K39" s="633"/>
      <c r="L39" s="633"/>
      <c r="Q39" s="82"/>
    </row>
    <row r="40" spans="2:17" ht="31.5" customHeight="1" x14ac:dyDescent="0.3">
      <c r="B40" s="636" t="s">
        <v>304</v>
      </c>
      <c r="C40" s="311">
        <v>45016</v>
      </c>
      <c r="D40" s="311">
        <v>45107</v>
      </c>
      <c r="E40" s="311">
        <v>45199</v>
      </c>
      <c r="F40" s="311">
        <v>45291</v>
      </c>
      <c r="G40" s="311">
        <v>45382</v>
      </c>
      <c r="H40" s="311">
        <v>45473</v>
      </c>
      <c r="I40" s="311">
        <v>45565</v>
      </c>
      <c r="J40" s="311">
        <v>45657</v>
      </c>
      <c r="K40" s="327">
        <v>45747</v>
      </c>
      <c r="L40" s="312">
        <v>45838</v>
      </c>
      <c r="P40" s="98"/>
      <c r="Q40" s="81"/>
    </row>
    <row r="41" spans="2:17" s="3" customFormat="1" ht="24" customHeight="1" x14ac:dyDescent="0.3">
      <c r="B41" s="340" t="s">
        <v>154</v>
      </c>
      <c r="C41" s="231">
        <v>2498.2337115539999</v>
      </c>
      <c r="D41" s="231">
        <v>3758.6038723379997</v>
      </c>
      <c r="E41" s="239">
        <v>3513.5318966300001</v>
      </c>
      <c r="F41" s="231">
        <v>4001.1751136000003</v>
      </c>
      <c r="G41" s="231">
        <v>4846.4233563479993</v>
      </c>
      <c r="H41" s="239">
        <v>4258.750761538</v>
      </c>
      <c r="I41" s="239">
        <v>4783.9049951979996</v>
      </c>
      <c r="J41" s="239">
        <v>4813.9138085499999</v>
      </c>
      <c r="K41" s="900">
        <v>6311.8537417040006</v>
      </c>
      <c r="L41" s="315">
        <v>7354.6600056859997</v>
      </c>
    </row>
    <row r="42" spans="2:17" s="3" customFormat="1" ht="24" customHeight="1" x14ac:dyDescent="0.3">
      <c r="B42" s="340" t="s">
        <v>88</v>
      </c>
      <c r="C42" s="634">
        <v>4.6600973542025468</v>
      </c>
      <c r="D42" s="634">
        <v>4.7386473600944212</v>
      </c>
      <c r="E42" s="642">
        <v>4.960739123147075</v>
      </c>
      <c r="F42" s="634">
        <v>5.1005170498132903</v>
      </c>
      <c r="G42" s="634">
        <v>5.2886711555258668</v>
      </c>
      <c r="H42" s="642">
        <v>5.4465728524370345</v>
      </c>
      <c r="I42" s="642">
        <v>5.6890063850029211</v>
      </c>
      <c r="J42" s="642">
        <v>5.7785186674463018</v>
      </c>
      <c r="K42" s="918">
        <v>6.0130412622202858</v>
      </c>
      <c r="L42" s="643">
        <v>5.8978454762941421</v>
      </c>
      <c r="N42" s="931"/>
      <c r="Q42" s="83"/>
    </row>
    <row r="43" spans="2:17" s="3" customFormat="1" ht="24" customHeight="1" x14ac:dyDescent="0.3">
      <c r="B43" s="340" t="s">
        <v>87</v>
      </c>
      <c r="C43" s="634">
        <f t="shared" ref="C43:H43" si="0">(C41/(C31/1000000))/C42</f>
        <v>0.4288739612288201</v>
      </c>
      <c r="D43" s="634">
        <f t="shared" si="0"/>
        <v>0.63487914105734478</v>
      </c>
      <c r="E43" s="642">
        <f t="shared" si="0"/>
        <v>0.56936322104655901</v>
      </c>
      <c r="F43" s="634">
        <f t="shared" si="0"/>
        <v>0.63003021738949017</v>
      </c>
      <c r="G43" s="634">
        <f t="shared" si="0"/>
        <v>0.73551883791922479</v>
      </c>
      <c r="H43" s="642">
        <f t="shared" si="0"/>
        <v>0.62793631765351865</v>
      </c>
      <c r="I43" s="642">
        <f>(I41/(I31/1000000))/I42</f>
        <v>0.67454530839687354</v>
      </c>
      <c r="J43" s="642">
        <f>(J41/(J31/1000000))/J42</f>
        <v>0.66857573992549146</v>
      </c>
      <c r="K43" s="918">
        <f>(K41/(K31/1000000))/K42</f>
        <v>0.84147312692287157</v>
      </c>
      <c r="L43" s="643">
        <f>(L41/(L31/1000000))/L42</f>
        <v>0.99954512216229197</v>
      </c>
    </row>
    <row r="44" spans="2:17" s="3" customFormat="1" ht="24" customHeight="1" x14ac:dyDescent="0.3">
      <c r="B44" s="340" t="s">
        <v>122</v>
      </c>
      <c r="C44" s="634">
        <v>0.13330929644381997</v>
      </c>
      <c r="D44" s="634">
        <v>8.5291343010887685E-2</v>
      </c>
      <c r="E44" s="642">
        <v>0.21242883530718476</v>
      </c>
      <c r="F44" s="634">
        <v>0.15911450323368179</v>
      </c>
      <c r="G44" s="634">
        <v>0.17658569304283314</v>
      </c>
      <c r="H44" s="642">
        <v>0.25448035687654136</v>
      </c>
      <c r="I44" s="642">
        <v>0.24488039565950157</v>
      </c>
      <c r="J44" s="642">
        <v>0.13740515444331888</v>
      </c>
      <c r="K44" s="918">
        <v>0.21692124611223412</v>
      </c>
      <c r="L44" s="643">
        <v>0.21031273739146128</v>
      </c>
    </row>
    <row r="45" spans="2:17" s="3" customFormat="1" ht="24" customHeight="1" x14ac:dyDescent="0.3">
      <c r="B45" s="340" t="s">
        <v>153</v>
      </c>
      <c r="C45" s="634">
        <v>0.14583654309528654</v>
      </c>
      <c r="D45" s="634">
        <v>0.1538456392887077</v>
      </c>
      <c r="E45" s="642">
        <v>0.22825966872391404</v>
      </c>
      <c r="F45" s="634">
        <v>0.21809505961438166</v>
      </c>
      <c r="G45" s="634">
        <v>0.23594955898572548</v>
      </c>
      <c r="H45" s="642">
        <v>0.23467390454597309</v>
      </c>
      <c r="I45" s="642">
        <v>0.22723242184515857</v>
      </c>
      <c r="J45" s="642">
        <v>0.21962588745371969</v>
      </c>
      <c r="K45" s="918">
        <v>0.20987886905439931</v>
      </c>
      <c r="L45" s="643">
        <v>0.18502528807452975</v>
      </c>
    </row>
    <row r="46" spans="2:17" s="3" customFormat="1" ht="24" customHeight="1" x14ac:dyDescent="0.3">
      <c r="B46" s="340" t="s">
        <v>161</v>
      </c>
      <c r="C46" s="634">
        <v>0.15245576774527919</v>
      </c>
      <c r="D46" s="634">
        <v>0.18007706154844233</v>
      </c>
      <c r="E46" s="642">
        <v>0.21367726288531819</v>
      </c>
      <c r="F46" s="634">
        <v>0.25160261418775215</v>
      </c>
      <c r="G46" s="634">
        <v>0.21364749556552445</v>
      </c>
      <c r="H46" s="642">
        <v>0.25011304233528114</v>
      </c>
      <c r="I46" s="642">
        <v>0.24592670002666389</v>
      </c>
      <c r="J46" s="642">
        <v>0.25910703698085025</v>
      </c>
      <c r="K46" s="918">
        <v>0.21692124611223412</v>
      </c>
      <c r="L46" s="643">
        <v>0.22340212649205377</v>
      </c>
    </row>
    <row r="47" spans="2:17" s="3" customFormat="1" ht="24" customHeight="1" x14ac:dyDescent="0.3">
      <c r="B47" s="644" t="s">
        <v>160</v>
      </c>
      <c r="C47" s="645">
        <v>3.0661601612639533</v>
      </c>
      <c r="D47" s="645">
        <v>3.946410124282266</v>
      </c>
      <c r="E47" s="646">
        <v>3.1489440553415982</v>
      </c>
      <c r="F47" s="645">
        <v>3.0646161574259887</v>
      </c>
      <c r="G47" s="645">
        <v>4.3378989923250026</v>
      </c>
      <c r="H47" s="646">
        <v>3.1967497083661662</v>
      </c>
      <c r="I47" s="646">
        <v>3.740900320923481</v>
      </c>
      <c r="J47" s="646">
        <v>3.5819715971171733</v>
      </c>
      <c r="K47" s="919">
        <v>5.5616338309759872</v>
      </c>
      <c r="L47" s="647">
        <v>6.3003364952284828</v>
      </c>
    </row>
    <row r="48" spans="2:17" s="3" customFormat="1" ht="9.75" customHeight="1" x14ac:dyDescent="0.4">
      <c r="B48" s="121"/>
      <c r="C48" s="633"/>
      <c r="D48" s="633"/>
      <c r="E48" s="633"/>
      <c r="F48" s="633"/>
      <c r="G48" s="633"/>
      <c r="H48" s="633"/>
      <c r="I48" s="633"/>
      <c r="J48" s="633"/>
      <c r="K48" s="633"/>
      <c r="L48" s="633"/>
    </row>
    <row r="49" spans="2:12" s="3" customFormat="1" ht="15.75" customHeight="1" x14ac:dyDescent="0.4">
      <c r="B49" s="121" t="s">
        <v>493</v>
      </c>
      <c r="C49" s="633"/>
      <c r="D49" s="633"/>
      <c r="E49" s="633"/>
      <c r="F49" s="633"/>
      <c r="G49" s="633"/>
      <c r="H49" s="633"/>
      <c r="I49" s="633"/>
      <c r="J49" s="633"/>
      <c r="K49" s="633"/>
      <c r="L49" s="633"/>
    </row>
    <row r="50" spans="2:12" s="3" customFormat="1" ht="13.5" customHeight="1" x14ac:dyDescent="0.4">
      <c r="B50" s="630"/>
      <c r="C50" s="633"/>
      <c r="D50" s="633"/>
      <c r="E50" s="633"/>
      <c r="F50" s="633"/>
      <c r="G50" s="633"/>
      <c r="H50" s="633"/>
      <c r="I50" s="633"/>
      <c r="J50" s="633"/>
      <c r="K50" s="633"/>
      <c r="L50" s="633"/>
    </row>
    <row r="51" spans="2:12" ht="31.5" customHeight="1" x14ac:dyDescent="0.3">
      <c r="B51" s="636" t="s">
        <v>301</v>
      </c>
      <c r="C51" s="311">
        <v>45016</v>
      </c>
      <c r="D51" s="311">
        <v>45107</v>
      </c>
      <c r="E51" s="311">
        <v>45199</v>
      </c>
      <c r="F51" s="311">
        <v>45291</v>
      </c>
      <c r="G51" s="311">
        <v>45382</v>
      </c>
      <c r="H51" s="311">
        <v>45473</v>
      </c>
      <c r="I51" s="311">
        <v>45565</v>
      </c>
      <c r="J51" s="311">
        <v>45657</v>
      </c>
      <c r="K51" s="327">
        <v>45747</v>
      </c>
      <c r="L51" s="312">
        <v>45838</v>
      </c>
    </row>
    <row r="52" spans="2:12" s="6" customFormat="1" ht="48" customHeight="1" x14ac:dyDescent="0.25">
      <c r="B52" s="317" t="s">
        <v>461</v>
      </c>
      <c r="C52" s="635" t="s">
        <v>173</v>
      </c>
      <c r="D52" s="635" t="s">
        <v>173</v>
      </c>
      <c r="E52" s="637" t="s">
        <v>193</v>
      </c>
      <c r="F52" s="635" t="s">
        <v>193</v>
      </c>
      <c r="G52" s="635" t="s">
        <v>193</v>
      </c>
      <c r="H52" s="637" t="s">
        <v>193</v>
      </c>
      <c r="I52" s="637" t="s">
        <v>479</v>
      </c>
      <c r="J52" s="637" t="s">
        <v>479</v>
      </c>
      <c r="K52" s="920" t="s">
        <v>564</v>
      </c>
      <c r="L52" s="638" t="s">
        <v>564</v>
      </c>
    </row>
    <row r="53" spans="2:12" s="6" customFormat="1" ht="48" customHeight="1" x14ac:dyDescent="0.25">
      <c r="B53" s="317" t="s">
        <v>514</v>
      </c>
      <c r="C53" s="635" t="s">
        <v>152</v>
      </c>
      <c r="D53" s="635" t="s">
        <v>186</v>
      </c>
      <c r="E53" s="637" t="s">
        <v>186</v>
      </c>
      <c r="F53" s="635" t="s">
        <v>311</v>
      </c>
      <c r="G53" s="635" t="s">
        <v>311</v>
      </c>
      <c r="H53" s="637" t="s">
        <v>311</v>
      </c>
      <c r="I53" s="637" t="s">
        <v>480</v>
      </c>
      <c r="J53" s="637" t="s">
        <v>480</v>
      </c>
      <c r="K53" s="920" t="s">
        <v>563</v>
      </c>
      <c r="L53" s="638" t="s">
        <v>563</v>
      </c>
    </row>
    <row r="54" spans="2:12" s="6" customFormat="1" ht="48" customHeight="1" x14ac:dyDescent="0.25">
      <c r="B54" s="317" t="s">
        <v>17</v>
      </c>
      <c r="C54" s="635" t="s">
        <v>152</v>
      </c>
      <c r="D54" s="635" t="s">
        <v>152</v>
      </c>
      <c r="E54" s="637" t="s">
        <v>194</v>
      </c>
      <c r="F54" s="635" t="s">
        <v>311</v>
      </c>
      <c r="G54" s="635" t="s">
        <v>311</v>
      </c>
      <c r="H54" s="637" t="s">
        <v>311</v>
      </c>
      <c r="I54" s="637" t="s">
        <v>480</v>
      </c>
      <c r="J54" s="637" t="s">
        <v>480</v>
      </c>
      <c r="K54" s="920" t="s">
        <v>562</v>
      </c>
      <c r="L54" s="638" t="s">
        <v>562</v>
      </c>
    </row>
    <row r="55" spans="2:12" ht="48" customHeight="1" x14ac:dyDescent="0.3">
      <c r="B55" s="639" t="s">
        <v>70</v>
      </c>
      <c r="C55" s="640" t="s">
        <v>174</v>
      </c>
      <c r="D55" s="640" t="s">
        <v>174</v>
      </c>
      <c r="E55" s="641" t="s">
        <v>174</v>
      </c>
      <c r="F55" s="640" t="s">
        <v>312</v>
      </c>
      <c r="G55" s="640" t="s">
        <v>312</v>
      </c>
      <c r="H55" s="641" t="s">
        <v>312</v>
      </c>
      <c r="I55" s="641" t="s">
        <v>481</v>
      </c>
      <c r="J55" s="641" t="s">
        <v>481</v>
      </c>
      <c r="K55" s="921" t="s">
        <v>565</v>
      </c>
      <c r="L55" s="755" t="s">
        <v>565</v>
      </c>
    </row>
    <row r="56" spans="2:12" ht="15" x14ac:dyDescent="0.35">
      <c r="B56" s="627"/>
      <c r="C56" s="627"/>
      <c r="D56" s="627"/>
      <c r="E56" s="627"/>
      <c r="F56" s="627"/>
      <c r="G56" s="627"/>
      <c r="H56" s="627"/>
      <c r="I56" s="627"/>
      <c r="J56" s="627"/>
      <c r="K56" s="627"/>
      <c r="L56" s="627"/>
    </row>
    <row r="57" spans="2:12" ht="18" customHeight="1" x14ac:dyDescent="0.3">
      <c r="B57" s="957" t="s">
        <v>460</v>
      </c>
      <c r="C57" s="958"/>
      <c r="D57" s="958"/>
      <c r="E57" s="958"/>
      <c r="F57" s="958"/>
      <c r="G57" s="958"/>
      <c r="H57" s="958"/>
      <c r="I57" s="958"/>
      <c r="J57" s="958"/>
      <c r="K57" s="958"/>
      <c r="L57" s="958"/>
    </row>
  </sheetData>
  <mergeCells count="2">
    <mergeCell ref="B5:L5"/>
    <mergeCell ref="B57:L57"/>
  </mergeCells>
  <hyperlinks>
    <hyperlink ref="L2" location="'Cover '!A1" display="Back to Cover" xr:uid="{00000000-0004-0000-0800-000000000000}"/>
  </hyperlinks>
  <printOptions horizontalCentered="1" verticalCentered="1"/>
  <pageMargins left="0" right="0" top="0" bottom="0" header="0" footer="0"/>
  <pageSetup paperSize="8" scale="6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DACEC-FD43-4FEF-92A4-C86FA3CD7EF4}">
  <sheetPr codeName="Sheet4">
    <pageSetUpPr fitToPage="1"/>
  </sheetPr>
  <dimension ref="A1:T73"/>
  <sheetViews>
    <sheetView showGridLines="0" view="pageBreakPreview" zoomScale="85" zoomScaleNormal="90" zoomScaleSheetLayoutView="85" workbookViewId="0">
      <pane xSplit="2" ySplit="9" topLeftCell="C10" activePane="bottomRight" state="frozen"/>
      <selection pane="topRight" activeCell="C1" sqref="C1"/>
      <selection pane="bottomLeft" activeCell="A10" sqref="A10"/>
      <selection pane="bottomRight" activeCell="B5" sqref="B5:N5"/>
    </sheetView>
  </sheetViews>
  <sheetFormatPr defaultColWidth="9.109375" defaultRowHeight="15" x14ac:dyDescent="0.25"/>
  <cols>
    <col min="1" max="1" width="2.44140625" style="118" customWidth="1"/>
    <col min="2" max="2" width="77" style="118" customWidth="1"/>
    <col min="3" max="13" width="15" style="118" customWidth="1"/>
    <col min="14" max="14" width="17.33203125" style="118" customWidth="1"/>
    <col min="15" max="15" width="2.44140625" style="118" customWidth="1"/>
    <col min="16" max="16" width="9.109375" style="118"/>
    <col min="17" max="17" width="13.6640625" style="118" customWidth="1"/>
    <col min="18" max="18" width="10.33203125" style="118" customWidth="1"/>
    <col min="19" max="16384" width="9.109375" style="118"/>
  </cols>
  <sheetData>
    <row r="1" spans="1:19" s="117" customFormat="1" ht="15.75" customHeight="1" x14ac:dyDescent="0.25">
      <c r="B1" s="118"/>
      <c r="C1" s="118"/>
      <c r="D1" s="118"/>
      <c r="E1" s="118"/>
      <c r="F1" s="118"/>
      <c r="G1" s="118"/>
      <c r="H1" s="118"/>
      <c r="I1" s="118"/>
      <c r="J1" s="118"/>
      <c r="K1" s="118"/>
      <c r="L1" s="118"/>
      <c r="M1" s="118"/>
      <c r="N1" s="118"/>
    </row>
    <row r="2" spans="1:19" s="117" customFormat="1" ht="15.75" customHeight="1" x14ac:dyDescent="0.25">
      <c r="B2" s="118"/>
      <c r="N2" s="119" t="s">
        <v>20</v>
      </c>
    </row>
    <row r="3" spans="1:19" s="117" customFormat="1" ht="15.75" customHeight="1" x14ac:dyDescent="0.25">
      <c r="B3" s="118"/>
      <c r="C3" s="120"/>
      <c r="N3" s="119"/>
    </row>
    <row r="4" spans="1:19" ht="15.75" customHeight="1" x14ac:dyDescent="0.25">
      <c r="N4" s="121"/>
    </row>
    <row r="5" spans="1:19" s="123" customFormat="1" ht="27.6" x14ac:dyDescent="0.25">
      <c r="A5" s="122"/>
      <c r="B5" s="937" t="s">
        <v>115</v>
      </c>
      <c r="C5" s="937"/>
      <c r="D5" s="937"/>
      <c r="E5" s="937"/>
      <c r="F5" s="937"/>
      <c r="G5" s="937"/>
      <c r="H5" s="937"/>
      <c r="I5" s="937"/>
      <c r="J5" s="937"/>
      <c r="K5" s="937"/>
      <c r="L5" s="937"/>
      <c r="M5" s="937"/>
      <c r="N5" s="937"/>
    </row>
    <row r="6" spans="1:19" s="123" customFormat="1" ht="9" customHeight="1" x14ac:dyDescent="0.25">
      <c r="A6" s="122"/>
      <c r="B6" s="124"/>
      <c r="C6" s="124"/>
      <c r="D6" s="124"/>
      <c r="E6" s="124"/>
      <c r="F6" s="124"/>
      <c r="G6" s="124"/>
      <c r="H6" s="124"/>
      <c r="I6" s="124"/>
      <c r="J6" s="124"/>
      <c r="K6" s="124"/>
      <c r="L6" s="124"/>
      <c r="M6" s="124"/>
      <c r="N6" s="124"/>
    </row>
    <row r="7" spans="1:19" s="117" customFormat="1" ht="9" customHeight="1" x14ac:dyDescent="0.25">
      <c r="B7" s="118"/>
      <c r="C7" s="125"/>
      <c r="D7" s="125"/>
      <c r="E7" s="125"/>
      <c r="F7" s="125"/>
      <c r="G7" s="125"/>
      <c r="H7" s="125"/>
      <c r="I7" s="125"/>
      <c r="J7" s="125"/>
      <c r="K7" s="125"/>
      <c r="L7" s="125"/>
      <c r="M7" s="125"/>
      <c r="N7" s="125"/>
    </row>
    <row r="8" spans="1:19" s="117" customFormat="1" ht="16.5" customHeight="1" x14ac:dyDescent="0.25">
      <c r="B8" s="145" t="s">
        <v>0</v>
      </c>
      <c r="C8" s="125"/>
      <c r="D8" s="125"/>
      <c r="E8" s="125"/>
      <c r="F8" s="125"/>
      <c r="G8" s="125"/>
      <c r="H8" s="125"/>
      <c r="I8" s="125"/>
      <c r="J8" s="125"/>
      <c r="K8" s="125"/>
      <c r="L8" s="125"/>
      <c r="M8" s="125"/>
      <c r="N8" s="125"/>
    </row>
    <row r="9" spans="1:19" s="117" customFormat="1" ht="24" customHeight="1" x14ac:dyDescent="0.25">
      <c r="B9" s="146" t="s">
        <v>113</v>
      </c>
      <c r="C9" s="147" t="s">
        <v>181</v>
      </c>
      <c r="D9" s="147" t="s">
        <v>184</v>
      </c>
      <c r="E9" s="147" t="s">
        <v>192</v>
      </c>
      <c r="F9" s="147" t="s">
        <v>310</v>
      </c>
      <c r="G9" s="147" t="s">
        <v>318</v>
      </c>
      <c r="H9" s="147" t="s">
        <v>416</v>
      </c>
      <c r="I9" s="147" t="s">
        <v>470</v>
      </c>
      <c r="J9" s="147" t="s">
        <v>501</v>
      </c>
      <c r="K9" s="186" t="s">
        <v>561</v>
      </c>
      <c r="L9" s="835" t="s">
        <v>593</v>
      </c>
      <c r="M9" s="835" t="s">
        <v>594</v>
      </c>
      <c r="N9" s="185" t="s">
        <v>595</v>
      </c>
    </row>
    <row r="10" spans="1:19" s="126" customFormat="1" ht="24" customHeight="1" x14ac:dyDescent="0.25">
      <c r="B10" s="148" t="s">
        <v>1</v>
      </c>
      <c r="C10" s="149">
        <v>446.86599999999999</v>
      </c>
      <c r="D10" s="149">
        <v>487.8</v>
      </c>
      <c r="E10" s="150">
        <v>531.351</v>
      </c>
      <c r="F10" s="149">
        <v>536.64499999999998</v>
      </c>
      <c r="G10" s="149">
        <v>517.62899999999991</v>
      </c>
      <c r="H10" s="150">
        <v>527.55799999999999</v>
      </c>
      <c r="I10" s="150">
        <v>529.50533123000014</v>
      </c>
      <c r="J10" s="150">
        <v>513.51499999999999</v>
      </c>
      <c r="K10" s="824">
        <v>480.952</v>
      </c>
      <c r="L10" s="836">
        <v>473.56599999999997</v>
      </c>
      <c r="M10" s="845">
        <v>1045.1869999999999</v>
      </c>
      <c r="N10" s="207">
        <v>954.51800000000003</v>
      </c>
      <c r="Q10" s="127"/>
    </row>
    <row r="11" spans="1:19" s="126" customFormat="1" ht="24" customHeight="1" x14ac:dyDescent="0.25">
      <c r="B11" s="148" t="s">
        <v>179</v>
      </c>
      <c r="C11" s="149">
        <v>121.64700000000001</v>
      </c>
      <c r="D11" s="149">
        <v>141.40600000000001</v>
      </c>
      <c r="E11" s="150">
        <v>139.97699999999998</v>
      </c>
      <c r="F11" s="149">
        <v>143.60599999999999</v>
      </c>
      <c r="G11" s="149">
        <v>145.32</v>
      </c>
      <c r="H11" s="150">
        <v>179.239</v>
      </c>
      <c r="I11" s="150">
        <v>155.89676098999999</v>
      </c>
      <c r="J11" s="150">
        <v>167.35399999999998</v>
      </c>
      <c r="K11" s="824">
        <v>159.72299999999998</v>
      </c>
      <c r="L11" s="836">
        <v>165.53200000000001</v>
      </c>
      <c r="M11" s="845">
        <v>324.55899999999997</v>
      </c>
      <c r="N11" s="207">
        <v>325.255</v>
      </c>
      <c r="Q11" s="822"/>
    </row>
    <row r="12" spans="1:19" s="126" customFormat="1" ht="24" customHeight="1" x14ac:dyDescent="0.25">
      <c r="B12" s="148" t="s">
        <v>505</v>
      </c>
      <c r="C12" s="149">
        <v>0</v>
      </c>
      <c r="D12" s="149">
        <v>0</v>
      </c>
      <c r="E12" s="150">
        <v>0</v>
      </c>
      <c r="F12" s="149">
        <v>0</v>
      </c>
      <c r="G12" s="149">
        <v>0</v>
      </c>
      <c r="H12" s="150">
        <v>11.949892</v>
      </c>
      <c r="I12" s="150">
        <v>0</v>
      </c>
      <c r="J12" s="150">
        <v>0</v>
      </c>
      <c r="K12" s="824">
        <v>0</v>
      </c>
      <c r="L12" s="836">
        <v>0</v>
      </c>
      <c r="M12" s="845">
        <v>11.949892</v>
      </c>
      <c r="N12" s="207">
        <v>0</v>
      </c>
      <c r="Q12" s="822"/>
    </row>
    <row r="13" spans="1:19" s="126" customFormat="1" ht="24" customHeight="1" x14ac:dyDescent="0.25">
      <c r="B13" s="148" t="s">
        <v>507</v>
      </c>
      <c r="C13" s="149">
        <v>9.7540000000000013</v>
      </c>
      <c r="D13" s="149">
        <v>29.241999999999997</v>
      </c>
      <c r="E13" s="150">
        <v>-7.8949999999999996</v>
      </c>
      <c r="F13" s="149">
        <v>31.995000000000001</v>
      </c>
      <c r="G13" s="149">
        <v>-4.4270000000000005</v>
      </c>
      <c r="H13" s="150">
        <v>7.47</v>
      </c>
      <c r="I13" s="150">
        <v>33.253386879999915</v>
      </c>
      <c r="J13" s="150">
        <v>28.351999999999997</v>
      </c>
      <c r="K13" s="824">
        <v>18.872999999999998</v>
      </c>
      <c r="L13" s="836">
        <v>47.170999999999999</v>
      </c>
      <c r="M13" s="845">
        <v>3.0429999999999993</v>
      </c>
      <c r="N13" s="207">
        <v>66.043999999999997</v>
      </c>
      <c r="P13" s="127"/>
      <c r="Q13" s="822"/>
      <c r="S13" s="822"/>
    </row>
    <row r="14" spans="1:19" s="126" customFormat="1" ht="24" customHeight="1" x14ac:dyDescent="0.25">
      <c r="B14" s="148" t="s">
        <v>508</v>
      </c>
      <c r="C14" s="149">
        <v>-1.48</v>
      </c>
      <c r="D14" s="149">
        <v>3.5300000000000002</v>
      </c>
      <c r="E14" s="150">
        <v>-10.244999999999999</v>
      </c>
      <c r="F14" s="149">
        <v>9.7259999999999991</v>
      </c>
      <c r="G14" s="149">
        <v>-66.650999999999996</v>
      </c>
      <c r="H14" s="150">
        <v>11.755000000000001</v>
      </c>
      <c r="I14" s="150">
        <v>-9.9486770399999891</v>
      </c>
      <c r="J14" s="150">
        <v>20.843</v>
      </c>
      <c r="K14" s="824">
        <v>-10.088000000000001</v>
      </c>
      <c r="L14" s="836">
        <v>0.70700000000000007</v>
      </c>
      <c r="M14" s="845">
        <v>-54.895999999999994</v>
      </c>
      <c r="N14" s="207">
        <v>-9.3810000000000002</v>
      </c>
    </row>
    <row r="15" spans="1:19" s="126" customFormat="1" ht="24" customHeight="1" x14ac:dyDescent="0.25">
      <c r="B15" s="148" t="s">
        <v>324</v>
      </c>
      <c r="C15" s="149">
        <v>0</v>
      </c>
      <c r="D15" s="149">
        <v>0</v>
      </c>
      <c r="E15" s="150">
        <v>0</v>
      </c>
      <c r="F15" s="149">
        <v>0</v>
      </c>
      <c r="G15" s="149">
        <v>-43.292000000000002</v>
      </c>
      <c r="H15" s="150">
        <v>0</v>
      </c>
      <c r="I15" s="150">
        <v>0</v>
      </c>
      <c r="J15" s="150">
        <v>0</v>
      </c>
      <c r="K15" s="824">
        <v>0</v>
      </c>
      <c r="L15" s="836">
        <v>0</v>
      </c>
      <c r="M15" s="845">
        <v>-43.292000000000002</v>
      </c>
      <c r="N15" s="207">
        <v>0</v>
      </c>
      <c r="Q15" s="127"/>
    </row>
    <row r="16" spans="1:19" s="126" customFormat="1" ht="24" customHeight="1" x14ac:dyDescent="0.25">
      <c r="B16" s="154" t="s">
        <v>202</v>
      </c>
      <c r="C16" s="155">
        <f t="shared" ref="C16:F16" si="0">C10+C11+C13+C14</f>
        <v>576.78700000000003</v>
      </c>
      <c r="D16" s="156">
        <f t="shared" si="0"/>
        <v>661.97799999999995</v>
      </c>
      <c r="E16" s="155">
        <f t="shared" si="0"/>
        <v>653.18799999999999</v>
      </c>
      <c r="F16" s="156">
        <f t="shared" si="0"/>
        <v>721.97199999999998</v>
      </c>
      <c r="G16" s="156">
        <f t="shared" ref="G16:H16" si="1">G10+G11+G13+G14</f>
        <v>591.87099999999987</v>
      </c>
      <c r="H16" s="155">
        <f t="shared" si="1"/>
        <v>726.02200000000005</v>
      </c>
      <c r="I16" s="155">
        <f t="shared" ref="I16:N16" si="2">I10+I11+I13+I14</f>
        <v>708.70680205999997</v>
      </c>
      <c r="J16" s="155">
        <f t="shared" si="2"/>
        <v>730.06399999999985</v>
      </c>
      <c r="K16" s="828">
        <f t="shared" si="2"/>
        <v>649.46</v>
      </c>
      <c r="L16" s="837">
        <f t="shared" si="2"/>
        <v>686.976</v>
      </c>
      <c r="M16" s="846">
        <f t="shared" si="2"/>
        <v>1317.8929999999998</v>
      </c>
      <c r="N16" s="208">
        <f t="shared" si="2"/>
        <v>1336.4360000000001</v>
      </c>
      <c r="S16" s="127"/>
    </row>
    <row r="17" spans="2:19" s="126" customFormat="1" ht="24" customHeight="1" x14ac:dyDescent="0.25">
      <c r="B17" s="148" t="s">
        <v>2</v>
      </c>
      <c r="C17" s="149">
        <v>-96.718999999999994</v>
      </c>
      <c r="D17" s="149">
        <v>-96.57</v>
      </c>
      <c r="E17" s="150">
        <v>-80.358000000000004</v>
      </c>
      <c r="F17" s="149">
        <v>-168.495</v>
      </c>
      <c r="G17" s="149">
        <v>-100.86799999999999</v>
      </c>
      <c r="H17" s="150">
        <v>-100.80200000000001</v>
      </c>
      <c r="I17" s="150">
        <v>-101.65485525</v>
      </c>
      <c r="J17" s="150">
        <v>-151.71899999999999</v>
      </c>
      <c r="K17" s="824">
        <v>-99.093000000000004</v>
      </c>
      <c r="L17" s="836">
        <v>-103.46299999999999</v>
      </c>
      <c r="M17" s="845">
        <v>-201.67000000000002</v>
      </c>
      <c r="N17" s="207">
        <v>-202.55599999999998</v>
      </c>
    </row>
    <row r="18" spans="2:19" s="126" customFormat="1" ht="24" customHeight="1" x14ac:dyDescent="0.25">
      <c r="B18" s="148" t="s">
        <v>203</v>
      </c>
      <c r="C18" s="149">
        <v>-83.156999999999996</v>
      </c>
      <c r="D18" s="149">
        <v>-78.429000000000002</v>
      </c>
      <c r="E18" s="150">
        <v>-89.208000000000013</v>
      </c>
      <c r="F18" s="149">
        <v>-64.234999999999999</v>
      </c>
      <c r="G18" s="149">
        <v>-72.945999999999998</v>
      </c>
      <c r="H18" s="150">
        <v>-73.254999999999995</v>
      </c>
      <c r="I18" s="150">
        <v>-75.398843909999997</v>
      </c>
      <c r="J18" s="150">
        <v>-81.564000000000007</v>
      </c>
      <c r="K18" s="824">
        <v>-93.73</v>
      </c>
      <c r="L18" s="836">
        <v>-76.032000000000011</v>
      </c>
      <c r="M18" s="845">
        <v>-146.20099999999999</v>
      </c>
      <c r="N18" s="207">
        <v>-169.762</v>
      </c>
      <c r="R18" s="127"/>
    </row>
    <row r="19" spans="2:19" s="126" customFormat="1" ht="24" customHeight="1" x14ac:dyDescent="0.25">
      <c r="B19" s="148" t="s">
        <v>151</v>
      </c>
      <c r="C19" s="149">
        <v>-26.146999999999998</v>
      </c>
      <c r="D19" s="149">
        <v>-26.212</v>
      </c>
      <c r="E19" s="150">
        <v>-26.484999999999999</v>
      </c>
      <c r="F19" s="149">
        <v>-27.077999999999999</v>
      </c>
      <c r="G19" s="149">
        <v>-28.614999999999998</v>
      </c>
      <c r="H19" s="150">
        <v>-29.193999999999999</v>
      </c>
      <c r="I19" s="150">
        <v>-30.551236739999993</v>
      </c>
      <c r="J19" s="150">
        <v>-30.558</v>
      </c>
      <c r="K19" s="824">
        <v>-31.151</v>
      </c>
      <c r="L19" s="836">
        <v>-32.353000000000002</v>
      </c>
      <c r="M19" s="845">
        <v>-57.808999999999997</v>
      </c>
      <c r="N19" s="207">
        <v>-63.504000000000005</v>
      </c>
    </row>
    <row r="20" spans="2:19" s="126" customFormat="1" ht="24" customHeight="1" x14ac:dyDescent="0.25">
      <c r="B20" s="151" t="s">
        <v>130</v>
      </c>
      <c r="C20" s="153">
        <f t="shared" ref="C20:F20" si="3">SUM(C17:C19)</f>
        <v>-206.02299999999997</v>
      </c>
      <c r="D20" s="153">
        <f t="shared" si="3"/>
        <v>-201.21099999999998</v>
      </c>
      <c r="E20" s="152">
        <f t="shared" si="3"/>
        <v>-196.05100000000004</v>
      </c>
      <c r="F20" s="153">
        <f t="shared" si="3"/>
        <v>-259.80799999999999</v>
      </c>
      <c r="G20" s="153">
        <f t="shared" ref="G20:H20" si="4">SUM(G17:G19)</f>
        <v>-202.429</v>
      </c>
      <c r="H20" s="152">
        <f t="shared" si="4"/>
        <v>-203.251</v>
      </c>
      <c r="I20" s="152">
        <f t="shared" ref="I20:J20" si="5">SUM(I17:I19)</f>
        <v>-207.60493589999999</v>
      </c>
      <c r="J20" s="152">
        <f t="shared" si="5"/>
        <v>-263.84100000000001</v>
      </c>
      <c r="K20" s="829">
        <f t="shared" ref="K20:N20" si="6">SUM(K17:K19)</f>
        <v>-223.97400000000002</v>
      </c>
      <c r="L20" s="838">
        <f t="shared" si="6"/>
        <v>-211.84800000000001</v>
      </c>
      <c r="M20" s="847">
        <f t="shared" si="6"/>
        <v>-405.67999999999995</v>
      </c>
      <c r="N20" s="209">
        <f t="shared" si="6"/>
        <v>-435.822</v>
      </c>
    </row>
    <row r="21" spans="2:19" s="126" customFormat="1" ht="24" customHeight="1" x14ac:dyDescent="0.25">
      <c r="B21" s="148" t="s">
        <v>129</v>
      </c>
      <c r="C21" s="149">
        <v>-3.1720000000000002</v>
      </c>
      <c r="D21" s="149">
        <v>-2.1745070000000002</v>
      </c>
      <c r="E21" s="150">
        <v>-1.5662459999999996</v>
      </c>
      <c r="F21" s="149">
        <v>-63.649000000000001</v>
      </c>
      <c r="G21" s="149">
        <v>-9.6033038800000003</v>
      </c>
      <c r="H21" s="150">
        <v>-4.2904095</v>
      </c>
      <c r="I21" s="150">
        <v>-1.837108</v>
      </c>
      <c r="J21" s="150">
        <v>-38.653692239999998</v>
      </c>
      <c r="K21" s="824">
        <v>0</v>
      </c>
      <c r="L21" s="836">
        <v>0</v>
      </c>
      <c r="M21" s="845">
        <v>-13.893713380000001</v>
      </c>
      <c r="N21" s="207">
        <v>0</v>
      </c>
    </row>
    <row r="22" spans="2:19" s="126" customFormat="1" ht="24" customHeight="1" x14ac:dyDescent="0.25">
      <c r="B22" s="154" t="s">
        <v>415</v>
      </c>
      <c r="C22" s="156">
        <f t="shared" ref="C22:F22" si="7">C16+C20</f>
        <v>370.76400000000007</v>
      </c>
      <c r="D22" s="156">
        <f t="shared" si="7"/>
        <v>460.76699999999994</v>
      </c>
      <c r="E22" s="155">
        <f t="shared" si="7"/>
        <v>457.13699999999994</v>
      </c>
      <c r="F22" s="156">
        <f t="shared" si="7"/>
        <v>462.16399999999999</v>
      </c>
      <c r="G22" s="156">
        <f t="shared" ref="G22:H22" si="8">G16+G20</f>
        <v>389.44199999999989</v>
      </c>
      <c r="H22" s="155">
        <f t="shared" si="8"/>
        <v>522.77100000000007</v>
      </c>
      <c r="I22" s="155">
        <f t="shared" ref="I22:N22" si="9">I16+I20</f>
        <v>501.10186615999999</v>
      </c>
      <c r="J22" s="155">
        <f t="shared" si="9"/>
        <v>466.22299999999984</v>
      </c>
      <c r="K22" s="828">
        <f t="shared" si="9"/>
        <v>425.48599999999999</v>
      </c>
      <c r="L22" s="837">
        <f t="shared" si="9"/>
        <v>475.12799999999999</v>
      </c>
      <c r="M22" s="846">
        <f t="shared" si="9"/>
        <v>912.21299999999985</v>
      </c>
      <c r="N22" s="208">
        <f t="shared" si="9"/>
        <v>900.61400000000015</v>
      </c>
    </row>
    <row r="23" spans="2:19" s="126" customFormat="1" ht="24" customHeight="1" x14ac:dyDescent="0.25">
      <c r="B23" s="154" t="s">
        <v>444</v>
      </c>
      <c r="C23" s="155">
        <f t="shared" ref="C23:F23" si="10">C22-C15-C21-C12</f>
        <v>373.93600000000009</v>
      </c>
      <c r="D23" s="155">
        <f t="shared" si="10"/>
        <v>462.94150699999994</v>
      </c>
      <c r="E23" s="155">
        <f t="shared" si="10"/>
        <v>458.70324599999992</v>
      </c>
      <c r="F23" s="156">
        <f t="shared" si="10"/>
        <v>525.81299999999999</v>
      </c>
      <c r="G23" s="156">
        <f t="shared" ref="G23:H23" si="11">G22-G15-G21-G12</f>
        <v>442.33730387999992</v>
      </c>
      <c r="H23" s="155">
        <f t="shared" si="11"/>
        <v>515.1115175000001</v>
      </c>
      <c r="I23" s="155">
        <f t="shared" ref="I23:J23" si="12">I22-I15-I21-I12</f>
        <v>502.93897415999999</v>
      </c>
      <c r="J23" s="155">
        <f t="shared" si="12"/>
        <v>504.87669223999984</v>
      </c>
      <c r="K23" s="828">
        <f t="shared" ref="K23:N23" si="13">K22-K15-K21-K12</f>
        <v>425.48599999999999</v>
      </c>
      <c r="L23" s="837">
        <f t="shared" si="13"/>
        <v>475.12799999999999</v>
      </c>
      <c r="M23" s="846">
        <f t="shared" si="13"/>
        <v>957.44882137999991</v>
      </c>
      <c r="N23" s="208">
        <f t="shared" si="13"/>
        <v>900.61400000000015</v>
      </c>
    </row>
    <row r="24" spans="2:19" s="126" customFormat="1" ht="24" customHeight="1" x14ac:dyDescent="0.25">
      <c r="B24" s="189" t="s">
        <v>131</v>
      </c>
      <c r="C24" s="190">
        <v>-95.394000000000005</v>
      </c>
      <c r="D24" s="190">
        <v>-283.02799999999996</v>
      </c>
      <c r="E24" s="191">
        <v>-75.676999999999992</v>
      </c>
      <c r="F24" s="190">
        <v>-104.504</v>
      </c>
      <c r="G24" s="190">
        <v>-58.474000000000004</v>
      </c>
      <c r="H24" s="191">
        <v>-43.260999999999996</v>
      </c>
      <c r="I24" s="191">
        <v>-51.714784479999999</v>
      </c>
      <c r="J24" s="191">
        <v>-127.18400000000001</v>
      </c>
      <c r="K24" s="825">
        <v>-35.253</v>
      </c>
      <c r="L24" s="839">
        <v>-93.966999999999999</v>
      </c>
      <c r="M24" s="848">
        <v>-101.735</v>
      </c>
      <c r="N24" s="210">
        <v>-129.22</v>
      </c>
      <c r="Q24" s="127"/>
    </row>
    <row r="25" spans="2:19" s="126" customFormat="1" ht="24" customHeight="1" x14ac:dyDescent="0.25">
      <c r="B25" s="148" t="s">
        <v>509</v>
      </c>
      <c r="C25" s="149">
        <v>-20.760999999999999</v>
      </c>
      <c r="D25" s="149">
        <v>-180.79911400999998</v>
      </c>
      <c r="E25" s="150">
        <v>0</v>
      </c>
      <c r="F25" s="149">
        <v>-51.51</v>
      </c>
      <c r="G25" s="149">
        <v>-12.14</v>
      </c>
      <c r="H25" s="150">
        <v>0</v>
      </c>
      <c r="I25" s="150">
        <v>0</v>
      </c>
      <c r="J25" s="150">
        <v>-86.33</v>
      </c>
      <c r="K25" s="824">
        <v>0</v>
      </c>
      <c r="L25" s="836">
        <v>-23</v>
      </c>
      <c r="M25" s="845">
        <v>-12.14</v>
      </c>
      <c r="N25" s="207">
        <v>-23</v>
      </c>
      <c r="Q25" s="128"/>
    </row>
    <row r="26" spans="2:19" s="126" customFormat="1" ht="24" customHeight="1" x14ac:dyDescent="0.25">
      <c r="B26" s="148" t="s">
        <v>170</v>
      </c>
      <c r="C26" s="149">
        <v>-20.998000000000001</v>
      </c>
      <c r="D26" s="149">
        <v>-43.989000000000004</v>
      </c>
      <c r="E26" s="150">
        <v>-2.1039999999999957</v>
      </c>
      <c r="F26" s="149">
        <v>-46.639000000000003</v>
      </c>
      <c r="G26" s="149">
        <v>-6.0240000000000009</v>
      </c>
      <c r="H26" s="150">
        <v>-27.35</v>
      </c>
      <c r="I26" s="150">
        <v>-16.767441019999996</v>
      </c>
      <c r="J26" s="150">
        <v>-112.84299999999999</v>
      </c>
      <c r="K26" s="824">
        <v>-7.7969999999999997</v>
      </c>
      <c r="L26" s="836">
        <v>-10.314</v>
      </c>
      <c r="M26" s="845">
        <v>-33.374000000000002</v>
      </c>
      <c r="N26" s="207">
        <v>-18.111000000000001</v>
      </c>
    </row>
    <row r="27" spans="2:19" s="126" customFormat="1" ht="24" customHeight="1" x14ac:dyDescent="0.25">
      <c r="B27" s="192" t="s">
        <v>510</v>
      </c>
      <c r="C27" s="193">
        <v>0</v>
      </c>
      <c r="D27" s="193">
        <v>0</v>
      </c>
      <c r="E27" s="194">
        <v>0</v>
      </c>
      <c r="F27" s="193">
        <v>0</v>
      </c>
      <c r="G27" s="193">
        <v>0</v>
      </c>
      <c r="H27" s="194">
        <v>0</v>
      </c>
      <c r="I27" s="194">
        <v>0</v>
      </c>
      <c r="J27" s="194">
        <v>-88.600999999999999</v>
      </c>
      <c r="K27" s="826">
        <v>0</v>
      </c>
      <c r="L27" s="840">
        <v>0</v>
      </c>
      <c r="M27" s="849">
        <v>0</v>
      </c>
      <c r="N27" s="211">
        <v>0</v>
      </c>
    </row>
    <row r="28" spans="2:19" s="126" customFormat="1" ht="24" customHeight="1" thickBot="1" x14ac:dyDescent="0.3">
      <c r="B28" s="179" t="s">
        <v>433</v>
      </c>
      <c r="C28" s="181">
        <f t="shared" ref="C28:D28" si="14">C22+C24+C26</f>
        <v>254.37200000000007</v>
      </c>
      <c r="D28" s="181">
        <f t="shared" si="14"/>
        <v>133.74999999999997</v>
      </c>
      <c r="E28" s="180">
        <f t="shared" ref="E28:H28" si="15">E22+E24+E26</f>
        <v>379.35599999999994</v>
      </c>
      <c r="F28" s="181">
        <f t="shared" si="15"/>
        <v>311.02099999999996</v>
      </c>
      <c r="G28" s="181">
        <f t="shared" si="15"/>
        <v>324.9439999999999</v>
      </c>
      <c r="H28" s="180">
        <f t="shared" si="15"/>
        <v>452.16000000000008</v>
      </c>
      <c r="I28" s="180">
        <f t="shared" ref="I28" si="16">I22+I24+I26</f>
        <v>432.61964066000002</v>
      </c>
      <c r="J28" s="180">
        <f>J22+J24+J26</f>
        <v>226.19599999999983</v>
      </c>
      <c r="K28" s="830">
        <f>K22+K24+K26</f>
        <v>382.43599999999998</v>
      </c>
      <c r="L28" s="841">
        <f>L22+L24+L26</f>
        <v>370.84699999999998</v>
      </c>
      <c r="M28" s="850">
        <f>M22+M24+M26</f>
        <v>777.10399999999981</v>
      </c>
      <c r="N28" s="212">
        <f>N22+N24+N26</f>
        <v>753.28300000000013</v>
      </c>
      <c r="Q28" s="127"/>
      <c r="S28" s="127"/>
    </row>
    <row r="29" spans="2:19" s="126" customFormat="1" ht="24" customHeight="1" thickBot="1" x14ac:dyDescent="0.3">
      <c r="B29" s="195" t="s">
        <v>566</v>
      </c>
      <c r="C29" s="197">
        <f t="shared" ref="C29:D29" si="17">C23+C24+C26-C25-C27</f>
        <v>278.30500000000012</v>
      </c>
      <c r="D29" s="197">
        <f t="shared" si="17"/>
        <v>316.72362100999999</v>
      </c>
      <c r="E29" s="196">
        <f t="shared" ref="E29:F29" si="18">E23+E24+E26-E25-E27</f>
        <v>380.92224599999992</v>
      </c>
      <c r="F29" s="197">
        <f t="shared" si="18"/>
        <v>426.17999999999995</v>
      </c>
      <c r="G29" s="197">
        <f>G23+G24+G26-G25-G27</f>
        <v>389.97930387999992</v>
      </c>
      <c r="H29" s="196">
        <f t="shared" ref="H29" si="19">H23+H24+H26-H25-H27</f>
        <v>444.50051750000011</v>
      </c>
      <c r="I29" s="196">
        <f t="shared" ref="I29" si="20">I23+I24+I26-I25-I27</f>
        <v>434.45674866000002</v>
      </c>
      <c r="J29" s="196">
        <f>J23+J24+J26-J25-J27</f>
        <v>439.78069223999984</v>
      </c>
      <c r="K29" s="831">
        <f>K23+K24+K26-K25-K27</f>
        <v>382.43599999999998</v>
      </c>
      <c r="L29" s="842">
        <f>L23+L24+L26-L25-L27</f>
        <v>393.84699999999998</v>
      </c>
      <c r="M29" s="851">
        <f>M23+M24+M26-M25-M27</f>
        <v>834.47982137999986</v>
      </c>
      <c r="N29" s="213">
        <f>N23+N24+N26-N25-N27</f>
        <v>776.28300000000013</v>
      </c>
    </row>
    <row r="30" spans="2:19" s="126" customFormat="1" ht="24" customHeight="1" thickBot="1" x14ac:dyDescent="0.3">
      <c r="B30" s="198" t="s">
        <v>132</v>
      </c>
      <c r="C30" s="199">
        <v>-75.64</v>
      </c>
      <c r="D30" s="199">
        <v>-14.627000000000001</v>
      </c>
      <c r="E30" s="200">
        <v>-102.38800000000001</v>
      </c>
      <c r="F30" s="199">
        <v>-99.454999999999998</v>
      </c>
      <c r="G30" s="199">
        <v>-91.998000000000005</v>
      </c>
      <c r="H30" s="200">
        <v>-120.983</v>
      </c>
      <c r="I30" s="200">
        <v>-114.39580782999995</v>
      </c>
      <c r="J30" s="200">
        <v>-42.829000000000001</v>
      </c>
      <c r="K30" s="827">
        <v>-100.398</v>
      </c>
      <c r="L30" s="843">
        <v>-96.962000000000003</v>
      </c>
      <c r="M30" s="852">
        <v>-212.98099999999999</v>
      </c>
      <c r="N30" s="214">
        <v>-197.36</v>
      </c>
    </row>
    <row r="31" spans="2:19" s="126" customFormat="1" ht="24" customHeight="1" thickBot="1" x14ac:dyDescent="0.3">
      <c r="B31" s="198" t="s">
        <v>568</v>
      </c>
      <c r="C31" s="199">
        <v>-75.64</v>
      </c>
      <c r="D31" s="199">
        <v>-79.180905252499997</v>
      </c>
      <c r="E31" s="200">
        <v>-102.38800000000001</v>
      </c>
      <c r="F31" s="199">
        <v>-99.454999999999998</v>
      </c>
      <c r="G31" s="199">
        <v>-110.8582381252</v>
      </c>
      <c r="H31" s="200">
        <v>-118.76175007500001</v>
      </c>
      <c r="I31" s="200">
        <v>-114.92856914999996</v>
      </c>
      <c r="J31" s="200">
        <v>-104.7685607496</v>
      </c>
      <c r="K31" s="827">
        <v>-100.398</v>
      </c>
      <c r="L31" s="843">
        <v>-103.63200000000001</v>
      </c>
      <c r="M31" s="852">
        <v>-229.6199882002</v>
      </c>
      <c r="N31" s="214">
        <v>-204.03</v>
      </c>
      <c r="P31" s="127"/>
      <c r="R31" s="127"/>
      <c r="S31" s="128"/>
    </row>
    <row r="32" spans="2:19" s="126" customFormat="1" ht="24" customHeight="1" thickBot="1" x14ac:dyDescent="0.3">
      <c r="B32" s="201" t="s">
        <v>159</v>
      </c>
      <c r="C32" s="199">
        <v>-1.0289999999999999</v>
      </c>
      <c r="D32" s="199">
        <v>-0.56000000000000005</v>
      </c>
      <c r="E32" s="200">
        <v>-0.41099999999999998</v>
      </c>
      <c r="F32" s="199">
        <v>0.32400000000000001</v>
      </c>
      <c r="G32" s="199">
        <v>-0.186</v>
      </c>
      <c r="H32" s="200">
        <v>1.17</v>
      </c>
      <c r="I32" s="200">
        <v>-0.1746048999999999</v>
      </c>
      <c r="J32" s="200">
        <v>-0.97</v>
      </c>
      <c r="K32" s="827">
        <v>-1.6850000000000001</v>
      </c>
      <c r="L32" s="843">
        <v>-1.621</v>
      </c>
      <c r="M32" s="852">
        <v>0.98399999999999999</v>
      </c>
      <c r="N32" s="214">
        <v>-3.306</v>
      </c>
      <c r="Q32" s="128"/>
    </row>
    <row r="33" spans="2:20" s="126" customFormat="1" ht="24" customHeight="1" thickBot="1" x14ac:dyDescent="0.3">
      <c r="B33" s="202" t="s">
        <v>567</v>
      </c>
      <c r="C33" s="197">
        <f t="shared" ref="C33:F33" si="21">C28+C31-C25-C21-C13-C32-C12-C27-C14</f>
        <v>195.42000000000007</v>
      </c>
      <c r="D33" s="197">
        <f t="shared" si="21"/>
        <v>205.33071575749997</v>
      </c>
      <c r="E33" s="196">
        <f t="shared" si="21"/>
        <v>297.08524599999993</v>
      </c>
      <c r="F33" s="197">
        <f t="shared" si="21"/>
        <v>284.67999999999995</v>
      </c>
      <c r="G33" s="197">
        <f t="shared" ref="G33:H33" si="22">G28+G31-G25-G21-G13-G32-G12-G27-G14</f>
        <v>307.09306575479991</v>
      </c>
      <c r="H33" s="196">
        <f t="shared" si="22"/>
        <v>305.34376742500007</v>
      </c>
      <c r="I33" s="196">
        <f t="shared" ref="I33:J33" si="23">I28+I31-I25-I21-I13-I32-I12-I27-I14</f>
        <v>296.39807457000012</v>
      </c>
      <c r="J33" s="196">
        <f t="shared" si="23"/>
        <v>286.78713149039982</v>
      </c>
      <c r="K33" s="831">
        <f t="shared" ref="K33:N33" si="24">K28+K31-K25-K21-K13-K32-K12-K27-K14</f>
        <v>274.93800000000005</v>
      </c>
      <c r="L33" s="842">
        <f t="shared" si="24"/>
        <v>243.958</v>
      </c>
      <c r="M33" s="851">
        <f t="shared" si="24"/>
        <v>612.43683317979981</v>
      </c>
      <c r="N33" s="213">
        <f t="shared" si="24"/>
        <v>518.89600000000019</v>
      </c>
    </row>
    <row r="34" spans="2:20" s="126" customFormat="1" ht="24" customHeight="1" thickBot="1" x14ac:dyDescent="0.3">
      <c r="B34" s="202" t="s">
        <v>434</v>
      </c>
      <c r="C34" s="199">
        <v>8.2740000000000578</v>
      </c>
      <c r="D34" s="199">
        <v>32.771999999999878</v>
      </c>
      <c r="E34" s="200">
        <v>-18.139999999999873</v>
      </c>
      <c r="F34" s="199">
        <v>41.721000000000004</v>
      </c>
      <c r="G34" s="199">
        <v>-27.786000000000001</v>
      </c>
      <c r="H34" s="200">
        <v>19.225000000000023</v>
      </c>
      <c r="I34" s="200">
        <v>23.304709839999987</v>
      </c>
      <c r="J34" s="200">
        <v>49.19500000000005</v>
      </c>
      <c r="K34" s="827">
        <v>8.7850000000000819</v>
      </c>
      <c r="L34" s="843">
        <v>47.8780000000001</v>
      </c>
      <c r="M34" s="852">
        <v>-8.5609999999998649</v>
      </c>
      <c r="N34" s="214">
        <v>56.663000000000181</v>
      </c>
    </row>
    <row r="35" spans="2:20" s="126" customFormat="1" ht="24" customHeight="1" thickBot="1" x14ac:dyDescent="0.3">
      <c r="B35" s="202" t="s">
        <v>482</v>
      </c>
      <c r="C35" s="197">
        <f t="shared" ref="C35:D35" si="25">C34+C33</f>
        <v>203.69400000000013</v>
      </c>
      <c r="D35" s="197">
        <f t="shared" si="25"/>
        <v>238.10271575749985</v>
      </c>
      <c r="E35" s="196">
        <f t="shared" ref="E35" si="26">E34+E33</f>
        <v>278.94524600000005</v>
      </c>
      <c r="F35" s="197">
        <f t="shared" ref="F35:H35" si="27">F34+F33</f>
        <v>326.40099999999995</v>
      </c>
      <c r="G35" s="197">
        <f t="shared" si="27"/>
        <v>279.30706575479991</v>
      </c>
      <c r="H35" s="196">
        <f t="shared" si="27"/>
        <v>324.56876742500009</v>
      </c>
      <c r="I35" s="196">
        <f t="shared" ref="I35:J35" si="28">I34+I33</f>
        <v>319.70278441000011</v>
      </c>
      <c r="J35" s="196">
        <f t="shared" si="28"/>
        <v>335.98213149039987</v>
      </c>
      <c r="K35" s="831">
        <f t="shared" ref="K35:N35" si="29">K34+K33</f>
        <v>283.72300000000013</v>
      </c>
      <c r="L35" s="842">
        <f t="shared" si="29"/>
        <v>291.83600000000013</v>
      </c>
      <c r="M35" s="851">
        <f t="shared" si="29"/>
        <v>603.87583317979988</v>
      </c>
      <c r="N35" s="213">
        <f t="shared" si="29"/>
        <v>575.55900000000042</v>
      </c>
    </row>
    <row r="36" spans="2:20" s="126" customFormat="1" ht="24" customHeight="1" x14ac:dyDescent="0.25">
      <c r="B36" s="173" t="s">
        <v>204</v>
      </c>
      <c r="C36" s="183">
        <f t="shared" ref="C36:D36" si="30">C28+C30-C32</f>
        <v>179.76100000000008</v>
      </c>
      <c r="D36" s="183">
        <f t="shared" si="30"/>
        <v>119.68299999999998</v>
      </c>
      <c r="E36" s="182">
        <f t="shared" ref="E36" si="31">E28+E30-E32</f>
        <v>277.37899999999996</v>
      </c>
      <c r="F36" s="183">
        <f t="shared" ref="F36:H36" si="32">F28+F30-F32</f>
        <v>211.24199999999996</v>
      </c>
      <c r="G36" s="183">
        <f t="shared" si="32"/>
        <v>233.13199999999992</v>
      </c>
      <c r="H36" s="182">
        <f t="shared" si="32"/>
        <v>330.00700000000006</v>
      </c>
      <c r="I36" s="182">
        <f t="shared" ref="I36:J36" si="33">I28+I30-I32</f>
        <v>318.39843773000007</v>
      </c>
      <c r="J36" s="182">
        <f t="shared" si="33"/>
        <v>184.33699999999982</v>
      </c>
      <c r="K36" s="832">
        <f t="shared" ref="K36:N36" si="34">K28+K30-K32</f>
        <v>283.72300000000001</v>
      </c>
      <c r="L36" s="844">
        <f t="shared" si="34"/>
        <v>275.50599999999997</v>
      </c>
      <c r="M36" s="853">
        <f t="shared" si="34"/>
        <v>563.13899999999978</v>
      </c>
      <c r="N36" s="215">
        <f t="shared" si="34"/>
        <v>559.22900000000016</v>
      </c>
      <c r="Q36" s="127"/>
    </row>
    <row r="37" spans="2:20" s="130" customFormat="1" ht="17.25" customHeight="1" x14ac:dyDescent="0.25">
      <c r="B37" s="129"/>
    </row>
    <row r="38" spans="2:20" s="117" customFormat="1" ht="24" customHeight="1" x14ac:dyDescent="0.25">
      <c r="B38" s="146" t="s">
        <v>114</v>
      </c>
      <c r="C38" s="184">
        <v>45016</v>
      </c>
      <c r="D38" s="184">
        <v>45107</v>
      </c>
      <c r="E38" s="184">
        <v>45199</v>
      </c>
      <c r="F38" s="184">
        <v>45291</v>
      </c>
      <c r="G38" s="184">
        <v>45382</v>
      </c>
      <c r="H38" s="184">
        <v>45473</v>
      </c>
      <c r="I38" s="184">
        <v>45565</v>
      </c>
      <c r="J38" s="184">
        <v>45657</v>
      </c>
      <c r="K38" s="188">
        <v>45747</v>
      </c>
      <c r="L38" s="184">
        <v>45838</v>
      </c>
      <c r="M38" s="856">
        <v>45473</v>
      </c>
      <c r="N38" s="858">
        <v>45838</v>
      </c>
    </row>
    <row r="39" spans="2:20" s="130" customFormat="1" ht="24" customHeight="1" x14ac:dyDescent="0.25">
      <c r="B39" s="151" t="s">
        <v>607</v>
      </c>
      <c r="C39" s="153">
        <v>74679.885999999999</v>
      </c>
      <c r="D39" s="153">
        <v>76982.615999999995</v>
      </c>
      <c r="E39" s="152">
        <v>79258.884000000005</v>
      </c>
      <c r="F39" s="153">
        <v>75499.738261459977</v>
      </c>
      <c r="G39" s="153">
        <v>77250.433999999994</v>
      </c>
      <c r="H39" s="152">
        <v>76625.849000000002</v>
      </c>
      <c r="I39" s="152">
        <v>78790.432941040068</v>
      </c>
      <c r="J39" s="152">
        <v>79124.71025229001</v>
      </c>
      <c r="K39" s="829">
        <v>78246.243000000002</v>
      </c>
      <c r="L39" s="834">
        <v>81249.259999999995</v>
      </c>
      <c r="M39" s="847">
        <f t="shared" ref="M39:M44" si="35">H39</f>
        <v>76625.849000000002</v>
      </c>
      <c r="N39" s="209">
        <f t="shared" ref="N39:N44" si="36">L39</f>
        <v>81249.259999999995</v>
      </c>
    </row>
    <row r="40" spans="2:20" s="130" customFormat="1" ht="24" customHeight="1" x14ac:dyDescent="0.25">
      <c r="B40" s="151" t="s">
        <v>569</v>
      </c>
      <c r="C40" s="153">
        <v>36823.953307999996</v>
      </c>
      <c r="D40" s="153">
        <v>36987.841641749998</v>
      </c>
      <c r="E40" s="152">
        <v>37298.183124290001</v>
      </c>
      <c r="F40" s="153">
        <v>38398.370784270002</v>
      </c>
      <c r="G40" s="153">
        <v>37198.035780430007</v>
      </c>
      <c r="H40" s="152">
        <v>38398.539018700001</v>
      </c>
      <c r="I40" s="152">
        <v>39036.243861620002</v>
      </c>
      <c r="J40" s="152">
        <v>41425.406067190117</v>
      </c>
      <c r="K40" s="829">
        <v>42105.891412029894</v>
      </c>
      <c r="L40" s="834">
        <v>42541.689731929902</v>
      </c>
      <c r="M40" s="847">
        <f t="shared" si="35"/>
        <v>38398.539018700001</v>
      </c>
      <c r="N40" s="209">
        <f t="shared" si="36"/>
        <v>42541.689731929902</v>
      </c>
      <c r="Q40" s="131"/>
      <c r="S40" s="131"/>
    </row>
    <row r="41" spans="2:20" s="130" customFormat="1" ht="24" customHeight="1" x14ac:dyDescent="0.25">
      <c r="B41" s="148" t="s">
        <v>570</v>
      </c>
      <c r="C41" s="149">
        <v>2441.5529170199989</v>
      </c>
      <c r="D41" s="149">
        <v>2048.5796317300005</v>
      </c>
      <c r="E41" s="150">
        <v>2045.45625649</v>
      </c>
      <c r="F41" s="149">
        <v>1329.3203579900003</v>
      </c>
      <c r="G41" s="149">
        <v>1302.6420000000001</v>
      </c>
      <c r="H41" s="150">
        <v>1263.5071478100012</v>
      </c>
      <c r="I41" s="150">
        <v>1261.8381047699991</v>
      </c>
      <c r="J41" s="150">
        <v>1067.9918054000004</v>
      </c>
      <c r="K41" s="824">
        <v>1097.1468719499992</v>
      </c>
      <c r="L41" s="833">
        <v>1092.2180770500001</v>
      </c>
      <c r="M41" s="845">
        <f t="shared" si="35"/>
        <v>1263.5071478100012</v>
      </c>
      <c r="N41" s="207">
        <f t="shared" si="36"/>
        <v>1092.2180770500001</v>
      </c>
      <c r="Q41" s="131"/>
    </row>
    <row r="42" spans="2:20" s="130" customFormat="1" ht="24" customHeight="1" x14ac:dyDescent="0.25">
      <c r="B42" s="151" t="s">
        <v>608</v>
      </c>
      <c r="C42" s="153">
        <v>35464.218000000001</v>
      </c>
      <c r="D42" s="153">
        <v>35823.851999999999</v>
      </c>
      <c r="E42" s="152">
        <v>36126.286</v>
      </c>
      <c r="F42" s="153">
        <v>36628.649683999996</v>
      </c>
      <c r="G42" s="153">
        <v>36414.089999999997</v>
      </c>
      <c r="H42" s="152">
        <v>37655.427000000003</v>
      </c>
      <c r="I42" s="152">
        <v>38261.902728959998</v>
      </c>
      <c r="J42" s="152">
        <v>39814.917252289997</v>
      </c>
      <c r="K42" s="829">
        <v>40827.213000000003</v>
      </c>
      <c r="L42" s="834">
        <v>41804.887000000002</v>
      </c>
      <c r="M42" s="847">
        <f t="shared" si="35"/>
        <v>37655.427000000003</v>
      </c>
      <c r="N42" s="209">
        <f t="shared" si="36"/>
        <v>41804.887000000002</v>
      </c>
      <c r="Q42" s="924"/>
      <c r="R42" s="131"/>
    </row>
    <row r="43" spans="2:20" s="130" customFormat="1" ht="24" customHeight="1" x14ac:dyDescent="0.25">
      <c r="B43" s="151" t="s">
        <v>205</v>
      </c>
      <c r="C43" s="153">
        <v>5825.1</v>
      </c>
      <c r="D43" s="153">
        <v>5920.1880000000001</v>
      </c>
      <c r="E43" s="152">
        <v>6170.9849999999997</v>
      </c>
      <c r="F43" s="153">
        <v>6350.7669999999998</v>
      </c>
      <c r="G43" s="153">
        <v>6589.1220000000003</v>
      </c>
      <c r="H43" s="152">
        <v>6782.1379999999999</v>
      </c>
      <c r="I43" s="152">
        <v>7092.0439822899998</v>
      </c>
      <c r="J43" s="152">
        <v>7200.2520000000004</v>
      </c>
      <c r="K43" s="829">
        <v>7500.9569999999985</v>
      </c>
      <c r="L43" s="834">
        <v>7358.0069999999996</v>
      </c>
      <c r="M43" s="847">
        <f t="shared" si="35"/>
        <v>6782.1379999999999</v>
      </c>
      <c r="N43" s="209">
        <f t="shared" si="36"/>
        <v>7358.0069999999996</v>
      </c>
      <c r="Q43" s="131"/>
    </row>
    <row r="44" spans="2:20" s="130" customFormat="1" ht="24" customHeight="1" x14ac:dyDescent="0.25">
      <c r="B44" s="176" t="s">
        <v>206</v>
      </c>
      <c r="C44" s="178">
        <v>6765.2150000000011</v>
      </c>
      <c r="D44" s="178">
        <v>6892.6440000000002</v>
      </c>
      <c r="E44" s="177">
        <v>7145.3239999999996</v>
      </c>
      <c r="F44" s="178">
        <v>7353.4609999999993</v>
      </c>
      <c r="G44" s="178">
        <v>7590.5529999999999</v>
      </c>
      <c r="H44" s="177">
        <v>7804.45</v>
      </c>
      <c r="I44" s="177">
        <v>8150.2597738300001</v>
      </c>
      <c r="J44" s="177">
        <v>8272.7919999999976</v>
      </c>
      <c r="K44" s="854">
        <v>8587.5669999999991</v>
      </c>
      <c r="L44" s="855">
        <v>8864.6910000000007</v>
      </c>
      <c r="M44" s="857">
        <f t="shared" si="35"/>
        <v>7804.45</v>
      </c>
      <c r="N44" s="216">
        <f t="shared" si="36"/>
        <v>8864.6910000000007</v>
      </c>
      <c r="S44" s="132"/>
      <c r="T44" s="133"/>
    </row>
    <row r="45" spans="2:20" s="130" customFormat="1" ht="17.25" customHeight="1" x14ac:dyDescent="0.25">
      <c r="B45" s="129"/>
      <c r="R45" s="134"/>
    </row>
    <row r="46" spans="2:20" ht="24" customHeight="1" x14ac:dyDescent="0.25">
      <c r="B46" s="146" t="s">
        <v>133</v>
      </c>
      <c r="C46" s="184" t="s">
        <v>181</v>
      </c>
      <c r="D46" s="184" t="s">
        <v>184</v>
      </c>
      <c r="E46" s="184" t="s">
        <v>192</v>
      </c>
      <c r="F46" s="184" t="s">
        <v>310</v>
      </c>
      <c r="G46" s="184" t="s">
        <v>318</v>
      </c>
      <c r="H46" s="184" t="s">
        <v>416</v>
      </c>
      <c r="I46" s="184" t="s">
        <v>470</v>
      </c>
      <c r="J46" s="184" t="s">
        <v>501</v>
      </c>
      <c r="K46" s="188" t="s">
        <v>561</v>
      </c>
      <c r="L46" s="866" t="s">
        <v>593</v>
      </c>
      <c r="M46" s="835" t="s">
        <v>594</v>
      </c>
      <c r="N46" s="185" t="s">
        <v>595</v>
      </c>
    </row>
    <row r="47" spans="2:20" ht="24" customHeight="1" x14ac:dyDescent="0.25">
      <c r="B47" s="151" t="s">
        <v>435</v>
      </c>
      <c r="C47" s="172">
        <f>(C33-(600*8.75%/4))/1249.995345</f>
        <v>0.14583654309528654</v>
      </c>
      <c r="D47" s="172">
        <f>(D33-(600*8.75%/4))/1249.341331</f>
        <v>0.1538456392887077</v>
      </c>
      <c r="E47" s="171">
        <f>(E33-(600*8.75%/4))/1243.96483</f>
        <v>0.22827031693492489</v>
      </c>
      <c r="F47" s="172">
        <f>(F33-(600*8.75%/4))/1245.122198</f>
        <v>0.21809505961438166</v>
      </c>
      <c r="G47" s="172">
        <f>(G33-(600*8.75%/4))/1245.893686</f>
        <v>0.23594955898572548</v>
      </c>
      <c r="H47" s="171">
        <f>(H33-(600*8.75%/4))/1245.212023</f>
        <v>0.23467390454597309</v>
      </c>
      <c r="I47" s="171">
        <f>(I33-(600*8.75%/4))/1246.622609</f>
        <v>0.22723242184515852</v>
      </c>
      <c r="J47" s="171">
        <f>(J33-(600*8.75%/4))/1246.037681</f>
        <v>0.21962588745371964</v>
      </c>
      <c r="K47" s="859">
        <f>(K33-(600*8.75%/4))/1247.448117</f>
        <v>0.20987886905439937</v>
      </c>
      <c r="L47" s="217">
        <f>(L33-(600*8.75%/4))/1247.575412</f>
        <v>0.18502528807452964</v>
      </c>
      <c r="M47" s="867">
        <f>(M33-(600*8.75%/2))/1245.212023</f>
        <v>0.47075262875115992</v>
      </c>
      <c r="N47" s="218">
        <f>(N33-(600*8.75%/2))/1247.575412</f>
        <v>0.39488274236683996</v>
      </c>
    </row>
    <row r="48" spans="2:20" ht="24" customHeight="1" x14ac:dyDescent="0.25">
      <c r="B48" s="151" t="s">
        <v>436</v>
      </c>
      <c r="C48" s="171">
        <f>(C35-(600*8.75%/4))/1249.995345</f>
        <v>0.15245576774527919</v>
      </c>
      <c r="D48" s="171">
        <f>(D35-(600*8.75%/4))/1249.341331</f>
        <v>0.1800770615484423</v>
      </c>
      <c r="E48" s="171">
        <f>(E35-(600*8.75%/4))/1243.96483</f>
        <v>0.21368791109632904</v>
      </c>
      <c r="F48" s="171">
        <f>(F35-(600*8.75%/4))/1245.122198</f>
        <v>0.25160261418775215</v>
      </c>
      <c r="G48" s="171">
        <f>(G35-(600*8.75%/4))/1245.893686</f>
        <v>0.21364749556552445</v>
      </c>
      <c r="H48" s="171">
        <f>(H35-(600*8.75%/4))/1245.212023</f>
        <v>0.25011304233528114</v>
      </c>
      <c r="I48" s="171">
        <f>(I35-(600*8.75%/4))/1246.622609</f>
        <v>0.24592670002666389</v>
      </c>
      <c r="J48" s="171">
        <f>(J35-(600*8.75%/4))/1246.037681</f>
        <v>0.25910703698085025</v>
      </c>
      <c r="K48" s="859">
        <f>(K35-(600*8.75%/4))/1247.448117</f>
        <v>0.21692124611223421</v>
      </c>
      <c r="L48" s="217">
        <f>(L35-(600*8.75%/4))/1247.575412</f>
        <v>0.22340212649205382</v>
      </c>
      <c r="M48" s="867">
        <f>(M35-(600*8.75%/2))/1245.212023</f>
        <v>0.46387749436290165</v>
      </c>
      <c r="N48" s="218">
        <f>(N35-(600*8.75%/2))/1247.575412</f>
        <v>0.44030123928091686</v>
      </c>
    </row>
    <row r="49" spans="2:17" ht="24" customHeight="1" x14ac:dyDescent="0.25">
      <c r="B49" s="238" t="s">
        <v>437</v>
      </c>
      <c r="C49" s="217">
        <f>(C36-(600*8.75%/4))/1249.995345</f>
        <v>0.13330929644382003</v>
      </c>
      <c r="D49" s="217">
        <f>(D36-(600*8.75%/4))/1249.341331</f>
        <v>8.5291343010887685E-2</v>
      </c>
      <c r="E49" s="217">
        <f>(E36-(600*8.75%/4))/1243.96483</f>
        <v>0.21242883530718468</v>
      </c>
      <c r="F49" s="217">
        <f>(F36-(600*8.75%/4))/1245.122198</f>
        <v>0.15911450323368179</v>
      </c>
      <c r="G49" s="217">
        <f>(G36-(600*8.75%/4))/1245.893686</f>
        <v>0.17658569304283314</v>
      </c>
      <c r="H49" s="217">
        <f>(H36-(600*8.75%/4))/1245.212023</f>
        <v>0.25448035687654136</v>
      </c>
      <c r="I49" s="217">
        <f>(I36-(600*8.75%/4))/1246.622609</f>
        <v>0.24488039565950154</v>
      </c>
      <c r="J49" s="217">
        <f>(J36-(600*8.75%/4))/1246.037681</f>
        <v>0.1374051544433188</v>
      </c>
      <c r="K49" s="819">
        <f>(K36-(600*8.75%/4))/1247.448117</f>
        <v>0.21692124611223412</v>
      </c>
      <c r="L49" s="217">
        <f>(L36-(600*8.75%/4))/1247.575412</f>
        <v>0.21031273739146117</v>
      </c>
      <c r="M49" s="868">
        <f>(M36-(600*8.75%/2))/1245.5212023</f>
        <v>0.43105568898271002</v>
      </c>
      <c r="N49" s="218">
        <f>(N36-(600*8.75%/2))/1247.575412</f>
        <v>0.42721185018032415</v>
      </c>
    </row>
    <row r="50" spans="2:17" ht="24" customHeight="1" x14ac:dyDescent="0.25">
      <c r="B50" s="151" t="s">
        <v>438</v>
      </c>
      <c r="C50" s="158">
        <f>(C35-(600*8.75%/4))*4/((5825+5641)/2)</f>
        <v>0.13296284667713248</v>
      </c>
      <c r="D50" s="158">
        <f t="shared" ref="D50:L50" si="37">(D35-(600*8.75%/4))*4/AVERAGE(C43:D43)</f>
        <v>0.15323776871712289</v>
      </c>
      <c r="E50" s="157">
        <f t="shared" si="37"/>
        <v>0.17587722613844006</v>
      </c>
      <c r="F50" s="158">
        <f t="shared" si="37"/>
        <v>0.2001483498475293</v>
      </c>
      <c r="G50" s="158">
        <f t="shared" si="37"/>
        <v>0.1645652853775175</v>
      </c>
      <c r="H50" s="157">
        <f t="shared" si="37"/>
        <v>0.18633622705713604</v>
      </c>
      <c r="I50" s="157">
        <f t="shared" si="37"/>
        <v>0.17677599143579806</v>
      </c>
      <c r="J50" s="157">
        <f t="shared" si="37"/>
        <v>0.18071673404494926</v>
      </c>
      <c r="K50" s="715">
        <f t="shared" si="37"/>
        <v>0.14725210695256433</v>
      </c>
      <c r="L50" s="820">
        <f t="shared" si="37"/>
        <v>0.15005676035018331</v>
      </c>
      <c r="M50" s="869">
        <f>(M35-(600*8.75%/2))*2/AVERAGE(F43,M43)</f>
        <v>0.17593238759582894</v>
      </c>
      <c r="N50" s="219">
        <f>(N35-(600*8.75%/2))*2/AVERAGE(J43,N43)</f>
        <v>0.15092711291920288</v>
      </c>
      <c r="Q50" s="135"/>
    </row>
    <row r="51" spans="2:17" ht="24" customHeight="1" x14ac:dyDescent="0.25">
      <c r="B51" s="238" t="s">
        <v>503</v>
      </c>
      <c r="C51" s="820">
        <f>(C36*4-52.5)/((5825+5641)/2)</f>
        <v>0.11626443397871974</v>
      </c>
      <c r="D51" s="820">
        <f t="shared" ref="D51:I51" si="38">(D36*4-52.5)/AVERAGE(D43,C43)</f>
        <v>7.2579233476437507E-2</v>
      </c>
      <c r="E51" s="820">
        <f t="shared" si="38"/>
        <v>0.17484093561476624</v>
      </c>
      <c r="F51" s="820">
        <f t="shared" si="38"/>
        <v>0.1265746199094184</v>
      </c>
      <c r="G51" s="820">
        <f t="shared" si="38"/>
        <v>0.13601785919492815</v>
      </c>
      <c r="H51" s="820">
        <f t="shared" si="38"/>
        <v>0.18958991149674753</v>
      </c>
      <c r="I51" s="820">
        <f t="shared" si="38"/>
        <v>0.17602389135138805</v>
      </c>
      <c r="J51" s="820">
        <f>(J36*4-52.5)/AVERAGE(J43,I43)</f>
        <v>9.583456721699779E-2</v>
      </c>
      <c r="K51" s="821">
        <f>(K36*4-52.5)/AVERAGE(K43,J43)</f>
        <v>0.14725210695256427</v>
      </c>
      <c r="L51" s="820">
        <f>(L36*4-52.5)/AVERAGE(L43,K43)</f>
        <v>0.14126476112331923</v>
      </c>
      <c r="M51" s="870">
        <f>(M36*2-52.5)/AVERAGE(M43,F43)</f>
        <v>0.16352482561931267</v>
      </c>
      <c r="N51" s="219">
        <f>(N36*2-52.5)/AVERAGE(N43,J43)</f>
        <v>0.14644031267749807</v>
      </c>
      <c r="Q51" s="135"/>
    </row>
    <row r="52" spans="2:17" ht="24" customHeight="1" x14ac:dyDescent="0.25">
      <c r="B52" s="151" t="s">
        <v>439</v>
      </c>
      <c r="C52" s="160">
        <f>(C35-(600*8.75%/4))*4/((73128+74680)/2)</f>
        <v>1.031440788049362E-2</v>
      </c>
      <c r="D52" s="160">
        <f t="shared" ref="D52:K52" si="39">(D35-(600*8.75%/4))*4/((D39+C39)/2)</f>
        <v>1.1867282303307901E-2</v>
      </c>
      <c r="E52" s="159">
        <f t="shared" si="39"/>
        <v>1.3610737019293852E-2</v>
      </c>
      <c r="F52" s="160">
        <f t="shared" si="39"/>
        <v>1.6194302865825707E-2</v>
      </c>
      <c r="G52" s="160">
        <f t="shared" si="39"/>
        <v>1.394077986631297E-2</v>
      </c>
      <c r="H52" s="159">
        <f t="shared" si="39"/>
        <v>1.6191904891541996E-2</v>
      </c>
      <c r="I52" s="159">
        <f t="shared" si="39"/>
        <v>1.5780986680729157E-2</v>
      </c>
      <c r="J52" s="159">
        <f t="shared" si="39"/>
        <v>1.63559808115495E-2</v>
      </c>
      <c r="K52" s="716">
        <f t="shared" si="39"/>
        <v>1.3755931163036909E-2</v>
      </c>
      <c r="L52" s="923">
        <f>(L35-(600*8.75%/4))*4/((L39+K39)/2)</f>
        <v>1.3979629256380985E-2</v>
      </c>
      <c r="M52" s="876">
        <f>(M35-(600*8.75%/2))*2/((M39+F39)/2)</f>
        <v>1.5188130901004257E-2</v>
      </c>
      <c r="N52" s="220">
        <f>(N35-(600*8.75%/2))*2/((N39+J39)/2)</f>
        <v>1.3700702155988601E-2</v>
      </c>
    </row>
    <row r="53" spans="2:17" ht="24" customHeight="1" x14ac:dyDescent="0.25">
      <c r="B53" s="151" t="s">
        <v>504</v>
      </c>
      <c r="C53" s="160">
        <f>(C36*4-52.5)/((73128+74680)/2)</f>
        <v>9.0190517428014767E-3</v>
      </c>
      <c r="D53" s="160">
        <f t="shared" ref="D53:L53" si="40">(D36*4-52.5)/((D39+C39)/2)</f>
        <v>5.6207961015966885E-3</v>
      </c>
      <c r="E53" s="159">
        <f t="shared" si="40"/>
        <v>1.3530540861422859E-2</v>
      </c>
      <c r="F53" s="160">
        <f t="shared" si="40"/>
        <v>1.0241342141973184E-2</v>
      </c>
      <c r="G53" s="160">
        <f t="shared" si="40"/>
        <v>1.1522448544197646E-2</v>
      </c>
      <c r="H53" s="159">
        <f t="shared" si="40"/>
        <v>1.6474637615206761E-2</v>
      </c>
      <c r="I53" s="159">
        <f t="shared" si="40"/>
        <v>1.5713845881131602E-2</v>
      </c>
      <c r="J53" s="159">
        <f t="shared" si="40"/>
        <v>8.6736203526923735E-3</v>
      </c>
      <c r="K53" s="716">
        <f t="shared" si="40"/>
        <v>1.3755931163036904E-2</v>
      </c>
      <c r="L53" s="860">
        <f t="shared" si="40"/>
        <v>1.3160546601743373E-2</v>
      </c>
      <c r="M53" s="871">
        <f>(M36*2-52.5)/((M39+F39)/2)</f>
        <v>1.4116993982800344E-2</v>
      </c>
      <c r="N53" s="220">
        <f>(N36*2-52.5)/((N39+J39)/2)</f>
        <v>1.3293404139376281E-2</v>
      </c>
    </row>
    <row r="54" spans="2:17" s="136" customFormat="1" ht="24" customHeight="1" x14ac:dyDescent="0.25">
      <c r="B54" s="238" t="s">
        <v>314</v>
      </c>
      <c r="C54" s="217">
        <f>C43/1249.995345</f>
        <v>4.6600973542025468</v>
      </c>
      <c r="D54" s="217">
        <f>D43/1249.341331</f>
        <v>4.7386473600944203</v>
      </c>
      <c r="E54" s="217">
        <f>E43/1243.96483</f>
        <v>4.960739123147075</v>
      </c>
      <c r="F54" s="217">
        <f>F43/1245.122198</f>
        <v>5.1005170498132903</v>
      </c>
      <c r="G54" s="217">
        <f>G43/1245.893686</f>
        <v>5.2886711555258668</v>
      </c>
      <c r="H54" s="217">
        <f>H43/1245.212023</f>
        <v>5.4465728524370345</v>
      </c>
      <c r="I54" s="217">
        <f>I43/1246.622609</f>
        <v>5.6890063850029211</v>
      </c>
      <c r="J54" s="217">
        <f>J43/1246.037681</f>
        <v>5.7785186674463018</v>
      </c>
      <c r="K54" s="819">
        <f>K43/1247.448117</f>
        <v>6.0130412622202858</v>
      </c>
      <c r="L54" s="217">
        <f>L43/1247.575412</f>
        <v>5.8978454762941421</v>
      </c>
      <c r="M54" s="868">
        <f>M43/1245.212023</f>
        <v>5.4465728524370345</v>
      </c>
      <c r="N54" s="218">
        <f>N43/1247.575412</f>
        <v>5.8978454762941421</v>
      </c>
    </row>
    <row r="55" spans="2:17" ht="24" customHeight="1" x14ac:dyDescent="0.25">
      <c r="B55" s="151" t="s">
        <v>440</v>
      </c>
      <c r="C55" s="162">
        <f t="shared" ref="C55:F55" si="41">(C33-(600*8.75%/4))/(C10+C11-C12)</f>
        <v>0.32065229818843205</v>
      </c>
      <c r="D55" s="162">
        <f t="shared" si="41"/>
        <v>0.30547343120933362</v>
      </c>
      <c r="E55" s="163">
        <f t="shared" si="41"/>
        <v>0.422982872753706</v>
      </c>
      <c r="F55" s="162">
        <f t="shared" si="41"/>
        <v>0.39919823712129782</v>
      </c>
      <c r="G55" s="162">
        <f t="shared" ref="G55:H55" si="42">(G33-(600*8.75%/4))/(G10+G11-G12)</f>
        <v>0.44342485734920783</v>
      </c>
      <c r="H55" s="163">
        <f t="shared" si="42"/>
        <v>0.42055117458299912</v>
      </c>
      <c r="I55" s="163">
        <f t="shared" ref="I55:J55" si="43">(I33-(600*8.75%/4))/(I10+I11-I12)</f>
        <v>0.41329473280784096</v>
      </c>
      <c r="J55" s="163">
        <f t="shared" si="43"/>
        <v>0.40193066726550902</v>
      </c>
      <c r="K55" s="717">
        <f t="shared" ref="K55:L55" si="44">(K33-(600*8.75%/4))/(K10+K11-K12)</f>
        <v>0.40865181254146027</v>
      </c>
      <c r="L55" s="861">
        <f t="shared" si="44"/>
        <v>0.36118560846693309</v>
      </c>
      <c r="M55" s="872">
        <f>(M33-(600*8.75%/2))/(M10+M11-M12)</f>
        <v>0.43171933527136014</v>
      </c>
      <c r="N55" s="221">
        <f>(N33-(600*8.75%/2))/(N10+N11-N12)</f>
        <v>0.38494795561400352</v>
      </c>
    </row>
    <row r="56" spans="2:17" ht="24" customHeight="1" x14ac:dyDescent="0.25">
      <c r="B56" s="151" t="s">
        <v>207</v>
      </c>
      <c r="C56" s="164">
        <f t="shared" ref="C56" si="45">C41/C40</f>
        <v>6.6303389443239713E-2</v>
      </c>
      <c r="D56" s="164">
        <f>D41/D40</f>
        <v>5.538521689293889E-2</v>
      </c>
      <c r="E56" s="165">
        <f>E41/E40</f>
        <v>5.4840640619781847E-2</v>
      </c>
      <c r="F56" s="164">
        <f>F41/F40</f>
        <v>3.4619186461279761E-2</v>
      </c>
      <c r="G56" s="164">
        <f t="shared" ref="G56:H56" si="46">G41/G40</f>
        <v>3.5019107129450201E-2</v>
      </c>
      <c r="H56" s="165">
        <f t="shared" si="46"/>
        <v>3.2905083893808466E-2</v>
      </c>
      <c r="I56" s="165">
        <f t="shared" ref="I56:J56" si="47">I41/I40</f>
        <v>3.2324782815762253E-2</v>
      </c>
      <c r="J56" s="165">
        <f t="shared" si="47"/>
        <v>2.5781082354817873E-2</v>
      </c>
      <c r="K56" s="718">
        <f t="shared" ref="K56:N56" si="48">K41/K40</f>
        <v>2.6056849413631889E-2</v>
      </c>
      <c r="L56" s="862">
        <f t="shared" si="48"/>
        <v>2.5674064286878334E-2</v>
      </c>
      <c r="M56" s="873">
        <f t="shared" si="48"/>
        <v>3.2905083893808466E-2</v>
      </c>
      <c r="N56" s="791">
        <f t="shared" si="48"/>
        <v>2.5674064286878334E-2</v>
      </c>
    </row>
    <row r="57" spans="2:17" ht="24" customHeight="1" x14ac:dyDescent="0.25">
      <c r="B57" s="151" t="s">
        <v>197</v>
      </c>
      <c r="C57" s="160">
        <f>C10*4/((73128+74680)/2)</f>
        <v>2.4186295735007576E-2</v>
      </c>
      <c r="D57" s="160">
        <f>D10*4/((D39+C39)/2)</f>
        <v>2.5730816441364001E-2</v>
      </c>
      <c r="E57" s="159">
        <f t="shared" ref="E57:J57" si="49">E10*4/((E39+D39)/2)</f>
        <v>2.7206651241827556E-2</v>
      </c>
      <c r="F57" s="160">
        <f t="shared" si="49"/>
        <v>2.774100684837344E-2</v>
      </c>
      <c r="G57" s="160">
        <f t="shared" si="49"/>
        <v>2.7109835221081534E-2</v>
      </c>
      <c r="H57" s="159">
        <f t="shared" si="49"/>
        <v>2.7427644583798531E-2</v>
      </c>
      <c r="I57" s="159">
        <f t="shared" si="49"/>
        <v>2.7256105968659187E-2</v>
      </c>
      <c r="J57" s="159">
        <f t="shared" si="49"/>
        <v>2.6014731183636831E-2</v>
      </c>
      <c r="K57" s="716">
        <f>K10*4/((K39+J39)/2)</f>
        <v>2.444934036735277E-2</v>
      </c>
      <c r="L57" s="860">
        <f>L10*4/((L39+K39)/2)</f>
        <v>2.3753196351874572E-2</v>
      </c>
      <c r="M57" s="871">
        <f>M10*2/((M39+F39)/2)</f>
        <v>2.7482214368148999E-2</v>
      </c>
      <c r="N57" s="220">
        <f>N10*2/((N39+J39)/2)</f>
        <v>2.3807304851240229E-2</v>
      </c>
    </row>
    <row r="58" spans="2:17" ht="24" customHeight="1" x14ac:dyDescent="0.25">
      <c r="B58" s="151" t="s">
        <v>188</v>
      </c>
      <c r="C58" s="160">
        <f>(C11-C12)*4/((73128+74680)/2)</f>
        <v>6.5840549902576317E-3</v>
      </c>
      <c r="D58" s="160">
        <f t="shared" ref="D58:F58" si="50">(D11-D12)*4/((D39+C39)/2)</f>
        <v>7.4589828407288193E-3</v>
      </c>
      <c r="E58" s="159">
        <f t="shared" si="50"/>
        <v>7.1672122963489203E-3</v>
      </c>
      <c r="F58" s="160">
        <f t="shared" si="50"/>
        <v>7.423482990557102E-3</v>
      </c>
      <c r="G58" s="160">
        <f t="shared" ref="G58:L58" si="51">(G11-G12)*4/((G39+F39)/2)</f>
        <v>7.6108588474130484E-3</v>
      </c>
      <c r="H58" s="159">
        <f t="shared" si="51"/>
        <v>8.6973303351758242E-3</v>
      </c>
      <c r="I58" s="159">
        <f t="shared" si="51"/>
        <v>8.02473249484335E-3</v>
      </c>
      <c r="J58" s="159">
        <f t="shared" si="51"/>
        <v>8.4781736122729774E-3</v>
      </c>
      <c r="K58" s="716">
        <f t="shared" si="51"/>
        <v>8.1195670077152931E-3</v>
      </c>
      <c r="L58" s="860">
        <f t="shared" si="51"/>
        <v>8.3027795460791157E-3</v>
      </c>
      <c r="M58" s="871">
        <f>(M11-M12)*2/((M39+F39)/2)</f>
        <v>8.2197640417378363E-3</v>
      </c>
      <c r="N58" s="220">
        <f>(N11-N12)*2/((N39+J39)/2)</f>
        <v>8.1124137411658446E-3</v>
      </c>
    </row>
    <row r="59" spans="2:17" ht="24" customHeight="1" x14ac:dyDescent="0.25">
      <c r="B59" s="151" t="s">
        <v>502</v>
      </c>
      <c r="C59" s="162">
        <f t="shared" ref="C59:J59" si="52">(C11-C12)/(C16-C12-C15)</f>
        <v>0.21090454535209704</v>
      </c>
      <c r="D59" s="162">
        <f t="shared" si="52"/>
        <v>0.2136113284731517</v>
      </c>
      <c r="E59" s="163">
        <f t="shared" si="52"/>
        <v>0.21429818061568795</v>
      </c>
      <c r="F59" s="162">
        <f t="shared" si="52"/>
        <v>0.19890799089161351</v>
      </c>
      <c r="G59" s="162">
        <f t="shared" si="52"/>
        <v>0.22879166450186805</v>
      </c>
      <c r="H59" s="163">
        <f t="shared" si="52"/>
        <v>0.23427481080104026</v>
      </c>
      <c r="I59" s="163">
        <f t="shared" si="52"/>
        <v>0.2199735638727531</v>
      </c>
      <c r="J59" s="163">
        <f t="shared" si="52"/>
        <v>0.22923195774617022</v>
      </c>
      <c r="K59" s="717">
        <f t="shared" ref="K59:N59" si="53">(K11-K12)/(K16-K12-K15)</f>
        <v>0.24593200505034948</v>
      </c>
      <c r="L59" s="861">
        <f t="shared" si="53"/>
        <v>0.24095747158561581</v>
      </c>
      <c r="M59" s="872">
        <f t="shared" si="53"/>
        <v>0.23169357671354049</v>
      </c>
      <c r="N59" s="221">
        <f t="shared" si="53"/>
        <v>0.24337491656914356</v>
      </c>
      <c r="Q59" s="756"/>
    </row>
    <row r="60" spans="2:17" ht="24" customHeight="1" thickBot="1" x14ac:dyDescent="0.3">
      <c r="B60" s="151" t="s">
        <v>441</v>
      </c>
      <c r="C60" s="167">
        <f t="shared" ref="C60:F60" si="54">-(C20-C21)/(C10+C11-C12)</f>
        <v>0.35680978271385166</v>
      </c>
      <c r="D60" s="167">
        <f t="shared" si="54"/>
        <v>0.31632961700937368</v>
      </c>
      <c r="E60" s="161">
        <f t="shared" si="54"/>
        <v>0.28970153784737124</v>
      </c>
      <c r="F60" s="167">
        <f t="shared" si="54"/>
        <v>0.28836267789389503</v>
      </c>
      <c r="G60" s="167">
        <f t="shared" ref="G60:H60" si="55">-(G20-G21)/(G10+G11-G12)</f>
        <v>0.29086052791391198</v>
      </c>
      <c r="H60" s="161">
        <f t="shared" si="55"/>
        <v>0.28633722182808591</v>
      </c>
      <c r="I60" s="161">
        <f t="shared" ref="I60:J60" si="56">-(I20-I21)/(I10+I11-I12)</f>
        <v>0.30021476478649661</v>
      </c>
      <c r="J60" s="161">
        <f t="shared" si="56"/>
        <v>0.33073514546851163</v>
      </c>
      <c r="K60" s="719">
        <f t="shared" ref="K60:N60" si="57">-(K20-K21)/(K10+K11-K12)</f>
        <v>0.34959066609435369</v>
      </c>
      <c r="L60" s="863">
        <f t="shared" si="57"/>
        <v>0.33147967917283427</v>
      </c>
      <c r="M60" s="874">
        <f t="shared" si="57"/>
        <v>0.28854574284874884</v>
      </c>
      <c r="N60" s="222">
        <f t="shared" si="57"/>
        <v>0.34054633126343498</v>
      </c>
    </row>
    <row r="61" spans="2:17" ht="24" customHeight="1" x14ac:dyDescent="0.25">
      <c r="B61" s="203" t="s">
        <v>442</v>
      </c>
      <c r="C61" s="205">
        <v>4.0239996268915338E-3</v>
      </c>
      <c r="D61" s="205">
        <v>7.700620884655284E-3</v>
      </c>
      <c r="E61" s="204">
        <v>5.220907568522266E-3</v>
      </c>
      <c r="F61" s="205">
        <v>2.7274824723784387E-3</v>
      </c>
      <c r="G61" s="205">
        <v>1.6941793684807174E-3</v>
      </c>
      <c r="H61" s="204">
        <v>2.1094436135327844E-3</v>
      </c>
      <c r="I61" s="204">
        <v>3.3198332769754715E-3</v>
      </c>
      <c r="J61" s="204">
        <v>1.5852349911984274E-3</v>
      </c>
      <c r="K61" s="720">
        <v>1.4207190679412774E-3</v>
      </c>
      <c r="L61" s="864">
        <v>2.8012992835024283E-3</v>
      </c>
      <c r="M61" s="875">
        <v>1.8738865980725697E-3</v>
      </c>
      <c r="N61" s="223">
        <v>3.1708254587555751E-3</v>
      </c>
    </row>
    <row r="62" spans="2:17" ht="24" customHeight="1" x14ac:dyDescent="0.25">
      <c r="B62" s="151" t="s">
        <v>443</v>
      </c>
      <c r="C62" s="168">
        <v>8.4178368179442173E-3</v>
      </c>
      <c r="D62" s="168">
        <v>1.1414616830149922E-2</v>
      </c>
      <c r="E62" s="166">
        <v>8.3791619210455224E-3</v>
      </c>
      <c r="F62" s="168">
        <v>5.7871639230150131E-3</v>
      </c>
      <c r="G62" s="168">
        <v>5.0896781987412026E-3</v>
      </c>
      <c r="H62" s="166">
        <v>4.595459772637818E-3</v>
      </c>
      <c r="I62" s="166">
        <v>5.4063996603971988E-3</v>
      </c>
      <c r="J62" s="166">
        <v>4.1043913004892912E-3</v>
      </c>
      <c r="K62" s="721">
        <v>3.4538727882307322E-3</v>
      </c>
      <c r="L62" s="923">
        <v>4.6374482485743822E-3</v>
      </c>
      <c r="M62" s="876">
        <v>4.7586766178484702E-3</v>
      </c>
      <c r="N62" s="224">
        <v>5.0817025291803796E-3</v>
      </c>
    </row>
    <row r="63" spans="2:17" ht="24" customHeight="1" x14ac:dyDescent="0.25">
      <c r="B63" s="151" t="s">
        <v>584</v>
      </c>
      <c r="C63" s="158">
        <f>'Capital adequacy'!C24</f>
        <v>0.12160683641678371</v>
      </c>
      <c r="D63" s="158">
        <f>'Capital adequacy'!D24</f>
        <v>0.12337089117031681</v>
      </c>
      <c r="E63" s="157">
        <v>0.12874425277295676</v>
      </c>
      <c r="F63" s="158">
        <v>0.13289708415017934</v>
      </c>
      <c r="G63" s="158">
        <v>0.13679298459395386</v>
      </c>
      <c r="H63" s="157">
        <v>0.14178005032744298</v>
      </c>
      <c r="I63" s="157">
        <v>0.14709195899103877</v>
      </c>
      <c r="J63" s="157">
        <v>0.14674732270715049</v>
      </c>
      <c r="K63" s="715">
        <v>0.14393832072413937</v>
      </c>
      <c r="L63" s="820">
        <v>0.14356648291548091</v>
      </c>
      <c r="M63" s="869">
        <f>H63</f>
        <v>0.14178005032744298</v>
      </c>
      <c r="N63" s="219">
        <f>L63</f>
        <v>0.14356648291548091</v>
      </c>
      <c r="P63" s="756"/>
    </row>
    <row r="64" spans="2:17" s="136" customFormat="1" ht="24" customHeight="1" x14ac:dyDescent="0.25">
      <c r="B64" s="173" t="s">
        <v>585</v>
      </c>
      <c r="C64" s="174">
        <v>0.16966286420852666</v>
      </c>
      <c r="D64" s="174">
        <v>0.17106045000593989</v>
      </c>
      <c r="E64" s="175">
        <v>0.1755583398694478</v>
      </c>
      <c r="F64" s="174">
        <v>0.18189260602297253</v>
      </c>
      <c r="G64" s="174">
        <v>0.18520436549105904</v>
      </c>
      <c r="H64" s="175">
        <v>0.19447670160009092</v>
      </c>
      <c r="I64" s="175">
        <v>0.19928908409056398</v>
      </c>
      <c r="J64" s="175">
        <v>0.19944753825774791</v>
      </c>
      <c r="K64" s="722">
        <v>0.19484541638309152</v>
      </c>
      <c r="L64" s="865">
        <v>0.20443352832623618</v>
      </c>
      <c r="M64" s="877">
        <f>H64</f>
        <v>0.19447670160009092</v>
      </c>
      <c r="N64" s="225">
        <f>L64</f>
        <v>0.20443352832623618</v>
      </c>
      <c r="P64" s="756"/>
    </row>
    <row r="65" spans="2:14" ht="15.75" customHeight="1" x14ac:dyDescent="0.25">
      <c r="B65" s="936"/>
      <c r="C65" s="936"/>
      <c r="D65" s="936"/>
      <c r="E65" s="137"/>
      <c r="F65" s="137"/>
      <c r="G65" s="137"/>
      <c r="H65" s="137"/>
      <c r="I65" s="137"/>
      <c r="J65" s="137"/>
      <c r="K65" s="137"/>
      <c r="L65" s="137"/>
      <c r="M65" s="137"/>
      <c r="N65" s="137"/>
    </row>
    <row r="66" spans="2:14" ht="15.75" customHeight="1" x14ac:dyDescent="0.25">
      <c r="B66" s="169" t="s">
        <v>547</v>
      </c>
      <c r="C66" s="137"/>
      <c r="D66" s="137"/>
      <c r="E66" s="137"/>
      <c r="F66" s="137"/>
      <c r="G66" s="137"/>
      <c r="H66" s="137"/>
      <c r="I66" s="137"/>
      <c r="J66" s="137"/>
      <c r="K66" s="137"/>
      <c r="L66" s="137"/>
      <c r="M66" s="137"/>
      <c r="N66" s="137"/>
    </row>
    <row r="67" spans="2:14" ht="15" customHeight="1" x14ac:dyDescent="0.25">
      <c r="B67" s="169" t="s">
        <v>506</v>
      </c>
      <c r="C67" s="121"/>
      <c r="D67" s="121"/>
      <c r="E67" s="121"/>
      <c r="F67" s="121"/>
      <c r="G67" s="121"/>
      <c r="H67" s="121"/>
      <c r="I67" s="121"/>
      <c r="J67" s="121"/>
      <c r="K67" s="121"/>
      <c r="L67" s="121"/>
      <c r="M67" s="121"/>
      <c r="N67" s="121"/>
    </row>
    <row r="68" spans="2:14" ht="15" customHeight="1" x14ac:dyDescent="0.25">
      <c r="B68" s="169" t="s">
        <v>512</v>
      </c>
      <c r="C68" s="121"/>
      <c r="D68" s="121"/>
      <c r="E68" s="121"/>
      <c r="F68" s="121"/>
      <c r="G68" s="121"/>
      <c r="H68" s="121"/>
      <c r="I68" s="121"/>
      <c r="J68" s="121"/>
      <c r="K68" s="121"/>
      <c r="L68" s="121"/>
      <c r="M68" s="121"/>
      <c r="N68" s="121"/>
    </row>
    <row r="69" spans="2:14" ht="15" customHeight="1" x14ac:dyDescent="0.25">
      <c r="B69" s="169" t="s">
        <v>511</v>
      </c>
      <c r="C69" s="121"/>
      <c r="D69" s="121"/>
      <c r="E69" s="121"/>
      <c r="F69" s="121"/>
      <c r="G69" s="121"/>
      <c r="H69" s="121"/>
      <c r="I69" s="121"/>
      <c r="J69" s="121"/>
      <c r="K69" s="121"/>
      <c r="L69" s="121"/>
      <c r="M69" s="121"/>
      <c r="N69" s="121"/>
    </row>
    <row r="70" spans="2:14" ht="15" customHeight="1" x14ac:dyDescent="0.25">
      <c r="B70" s="169" t="s">
        <v>518</v>
      </c>
      <c r="C70" s="121"/>
      <c r="D70" s="121"/>
      <c r="E70" s="121"/>
      <c r="F70" s="121"/>
      <c r="G70" s="121"/>
      <c r="H70" s="121"/>
      <c r="I70" s="121"/>
      <c r="J70" s="121"/>
      <c r="K70" s="121"/>
      <c r="L70" s="121"/>
      <c r="M70" s="121"/>
      <c r="N70" s="121"/>
    </row>
    <row r="71" spans="2:14" ht="33" customHeight="1" x14ac:dyDescent="0.25">
      <c r="B71" s="938" t="s">
        <v>621</v>
      </c>
      <c r="C71" s="938"/>
      <c r="D71" s="938"/>
      <c r="E71" s="938"/>
      <c r="F71" s="938"/>
      <c r="G71" s="938"/>
      <c r="H71" s="938"/>
      <c r="I71" s="938"/>
      <c r="J71" s="938"/>
      <c r="K71" s="938"/>
      <c r="L71" s="938"/>
      <c r="M71" s="938"/>
      <c r="N71" s="938"/>
    </row>
    <row r="72" spans="2:14" ht="15" customHeight="1" x14ac:dyDescent="0.25">
      <c r="B72" s="169" t="s">
        <v>571</v>
      </c>
      <c r="C72" s="121"/>
      <c r="D72" s="121"/>
      <c r="E72" s="121"/>
      <c r="F72" s="121"/>
      <c r="G72" s="121"/>
      <c r="H72" s="121"/>
      <c r="I72" s="121"/>
      <c r="J72" s="121"/>
      <c r="K72" s="121"/>
      <c r="L72" s="121"/>
      <c r="M72" s="121"/>
      <c r="N72" s="121"/>
    </row>
    <row r="73" spans="2:14" ht="92.25" customHeight="1" x14ac:dyDescent="0.25">
      <c r="B73" s="938" t="s">
        <v>622</v>
      </c>
      <c r="C73" s="938"/>
      <c r="D73" s="938"/>
      <c r="E73" s="938"/>
      <c r="F73" s="938"/>
      <c r="G73" s="938"/>
      <c r="H73" s="938"/>
      <c r="I73" s="938"/>
      <c r="J73" s="938"/>
      <c r="K73" s="938"/>
      <c r="L73" s="938"/>
      <c r="M73" s="938"/>
      <c r="N73" s="938"/>
    </row>
  </sheetData>
  <mergeCells count="4">
    <mergeCell ref="B65:D65"/>
    <mergeCell ref="B5:N5"/>
    <mergeCell ref="B73:N73"/>
    <mergeCell ref="B71:N71"/>
  </mergeCells>
  <phoneticPr fontId="113" type="noConversion"/>
  <hyperlinks>
    <hyperlink ref="N2" location="'Cover '!A1" display="Back to Cover" xr:uid="{18E92BD3-11E2-457C-846A-4EB89AC459B6}"/>
  </hyperlinks>
  <printOptions horizontalCentered="1" verticalCentered="1"/>
  <pageMargins left="0" right="0" top="0" bottom="0" header="0" footer="0"/>
  <pageSetup paperSize="8" scale="57" orientation="portrait" r:id="rId1"/>
  <headerFooter alignWithMargins="0"/>
  <ignoredErrors>
    <ignoredError sqref="M54" formula="1"/>
    <ignoredError sqref="C50:L50"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CD6B2-46D9-4700-A5A0-5E211DA7B7DC}">
  <sheetPr codeName="Sheet5">
    <pageSetUpPr fitToPage="1"/>
  </sheetPr>
  <dimension ref="A1:T64"/>
  <sheetViews>
    <sheetView showGridLines="0" view="pageBreakPreview" zoomScale="85" zoomScaleNormal="90" zoomScaleSheetLayoutView="85" workbookViewId="0">
      <pane xSplit="2" ySplit="9" topLeftCell="F10" activePane="bottomRight" state="frozen"/>
      <selection pane="topRight" activeCell="C1" sqref="C1"/>
      <selection pane="bottomLeft" activeCell="A10" sqref="A10"/>
      <selection pane="bottomRight" activeCell="B5" sqref="B5:N5"/>
    </sheetView>
  </sheetViews>
  <sheetFormatPr defaultColWidth="9.109375" defaultRowHeight="13.8" x14ac:dyDescent="0.25"/>
  <cols>
    <col min="1" max="1" width="2.44140625" style="10" customWidth="1"/>
    <col min="2" max="2" width="80.6640625" style="10" customWidth="1"/>
    <col min="3" max="14" width="17.6640625" style="10" customWidth="1"/>
    <col min="15" max="15" width="3.5546875" style="10" customWidth="1"/>
    <col min="16" max="16384" width="9.109375" style="10"/>
  </cols>
  <sheetData>
    <row r="1" spans="1:14" s="6" customFormat="1" ht="15.75" customHeight="1" x14ac:dyDescent="0.25">
      <c r="B1" s="10"/>
      <c r="C1" s="10"/>
      <c r="D1" s="10"/>
      <c r="E1" s="10"/>
      <c r="F1" s="10"/>
      <c r="G1" s="10"/>
      <c r="H1" s="10"/>
      <c r="I1" s="10"/>
      <c r="J1" s="10"/>
      <c r="K1" s="10"/>
      <c r="L1" s="10"/>
      <c r="M1" s="10"/>
      <c r="N1" s="10"/>
    </row>
    <row r="2" spans="1:14" s="6" customFormat="1" ht="15.75" customHeight="1" x14ac:dyDescent="0.25">
      <c r="B2" s="10"/>
      <c r="H2" s="117"/>
      <c r="I2" s="117"/>
      <c r="J2" s="117"/>
      <c r="K2" s="117"/>
      <c r="L2" s="117"/>
      <c r="M2" s="117"/>
      <c r="N2" s="119" t="s">
        <v>20</v>
      </c>
    </row>
    <row r="3" spans="1:14" s="6" customFormat="1" ht="15.75" customHeight="1" x14ac:dyDescent="0.25">
      <c r="B3" s="10"/>
      <c r="C3" s="8"/>
      <c r="D3" s="8"/>
      <c r="E3" s="8"/>
      <c r="F3" s="8"/>
      <c r="G3" s="8"/>
      <c r="H3" s="120"/>
      <c r="I3" s="120"/>
      <c r="J3" s="120"/>
      <c r="K3" s="120"/>
      <c r="L3" s="120"/>
      <c r="M3" s="120"/>
      <c r="N3" s="120"/>
    </row>
    <row r="4" spans="1:14" ht="15.75" customHeight="1" x14ac:dyDescent="0.25"/>
    <row r="5" spans="1:14" s="17" customFormat="1" ht="27.6" x14ac:dyDescent="0.25">
      <c r="A5" s="16"/>
      <c r="B5" s="937" t="s">
        <v>162</v>
      </c>
      <c r="C5" s="937"/>
      <c r="D5" s="937"/>
      <c r="E5" s="937"/>
      <c r="F5" s="937"/>
      <c r="G5" s="937"/>
      <c r="H5" s="937"/>
      <c r="I5" s="937"/>
      <c r="J5" s="937"/>
      <c r="K5" s="937"/>
      <c r="L5" s="937"/>
      <c r="M5" s="937"/>
      <c r="N5" s="937"/>
    </row>
    <row r="6" spans="1:14" s="17" customFormat="1" ht="9" customHeight="1" x14ac:dyDescent="0.25">
      <c r="A6" s="16"/>
      <c r="B6" s="18"/>
      <c r="C6" s="18"/>
      <c r="D6" s="18"/>
      <c r="E6" s="18"/>
      <c r="F6" s="18"/>
      <c r="G6" s="18"/>
      <c r="H6" s="18"/>
      <c r="I6" s="18"/>
      <c r="J6" s="18"/>
      <c r="K6" s="18"/>
      <c r="L6" s="18"/>
      <c r="M6" s="18"/>
      <c r="N6" s="18"/>
    </row>
    <row r="7" spans="1:14" s="6" customFormat="1" ht="9" customHeight="1" x14ac:dyDescent="0.25">
      <c r="B7" s="10"/>
      <c r="C7" s="32"/>
      <c r="D7" s="32"/>
      <c r="E7" s="32"/>
      <c r="F7" s="32"/>
      <c r="G7" s="32"/>
      <c r="H7" s="32"/>
      <c r="I7" s="32"/>
      <c r="J7" s="32"/>
      <c r="K7" s="32"/>
      <c r="L7" s="32"/>
      <c r="M7" s="32"/>
      <c r="N7" s="32"/>
    </row>
    <row r="8" spans="1:14" s="6" customFormat="1" ht="18" customHeight="1" x14ac:dyDescent="0.25">
      <c r="B8" s="145" t="s">
        <v>0</v>
      </c>
      <c r="C8" s="96"/>
      <c r="D8" s="96"/>
      <c r="E8" s="96"/>
      <c r="F8" s="96"/>
      <c r="G8" s="96"/>
      <c r="H8" s="96"/>
      <c r="I8" s="96"/>
      <c r="J8" s="96"/>
      <c r="K8" s="96"/>
      <c r="L8" s="96"/>
      <c r="M8" s="96"/>
      <c r="N8" s="96"/>
    </row>
    <row r="9" spans="1:14" s="9" customFormat="1" ht="31.2" customHeight="1" x14ac:dyDescent="0.25">
      <c r="B9" s="146" t="s">
        <v>308</v>
      </c>
      <c r="C9" s="147" t="s">
        <v>181</v>
      </c>
      <c r="D9" s="147" t="s">
        <v>184</v>
      </c>
      <c r="E9" s="147" t="s">
        <v>192</v>
      </c>
      <c r="F9" s="147" t="s">
        <v>310</v>
      </c>
      <c r="G9" s="147" t="s">
        <v>318</v>
      </c>
      <c r="H9" s="147" t="s">
        <v>416</v>
      </c>
      <c r="I9" s="147" t="s">
        <v>470</v>
      </c>
      <c r="J9" s="147" t="s">
        <v>501</v>
      </c>
      <c r="K9" s="147" t="s">
        <v>561</v>
      </c>
      <c r="L9" s="147" t="s">
        <v>593</v>
      </c>
      <c r="M9" s="147" t="s">
        <v>594</v>
      </c>
      <c r="N9" s="185" t="s">
        <v>595</v>
      </c>
    </row>
    <row r="10" spans="1:14" s="9" customFormat="1" ht="24" customHeight="1" x14ac:dyDescent="0.25">
      <c r="B10" s="236" t="s">
        <v>1</v>
      </c>
      <c r="C10" s="226">
        <v>446.86599999999999</v>
      </c>
      <c r="D10" s="226">
        <v>487.8</v>
      </c>
      <c r="E10" s="226">
        <v>531.351</v>
      </c>
      <c r="F10" s="226">
        <v>536.64499999999998</v>
      </c>
      <c r="G10" s="226">
        <v>517.62899999999991</v>
      </c>
      <c r="H10" s="723">
        <v>527.55799999999999</v>
      </c>
      <c r="I10" s="723">
        <v>529.50533123000014</v>
      </c>
      <c r="J10" s="723">
        <v>513.51499999999999</v>
      </c>
      <c r="K10" s="723">
        <v>480.952</v>
      </c>
      <c r="L10" s="881">
        <v>473.56599999999997</v>
      </c>
      <c r="M10" s="723">
        <v>1045.1869999999999</v>
      </c>
      <c r="N10" s="244">
        <v>954.51800000000003</v>
      </c>
    </row>
    <row r="11" spans="1:14" s="9" customFormat="1" ht="24" customHeight="1" x14ac:dyDescent="0.25">
      <c r="B11" s="148" t="s">
        <v>544</v>
      </c>
      <c r="C11" s="149">
        <v>121.64700000000001</v>
      </c>
      <c r="D11" s="226">
        <v>141.40600000000001</v>
      </c>
      <c r="E11" s="226">
        <v>139.97699999999998</v>
      </c>
      <c r="F11" s="226">
        <v>143.60599999999999</v>
      </c>
      <c r="G11" s="226">
        <v>145.32</v>
      </c>
      <c r="H11" s="226">
        <v>167.289108</v>
      </c>
      <c r="I11" s="723">
        <v>155.89676098999999</v>
      </c>
      <c r="J11" s="723">
        <v>167.35399999999998</v>
      </c>
      <c r="K11" s="723">
        <v>159.72299999999998</v>
      </c>
      <c r="L11" s="881">
        <v>165.53200000000001</v>
      </c>
      <c r="M11" s="723">
        <v>312.60910799999999</v>
      </c>
      <c r="N11" s="244">
        <v>325.255</v>
      </c>
    </row>
    <row r="12" spans="1:14" s="9" customFormat="1" ht="24" customHeight="1" x14ac:dyDescent="0.25">
      <c r="B12" s="237" t="s">
        <v>163</v>
      </c>
      <c r="C12" s="227">
        <v>-202.85099999999997</v>
      </c>
      <c r="D12" s="226">
        <v>-199.03649299999998</v>
      </c>
      <c r="E12" s="226">
        <v>-194.48475400000004</v>
      </c>
      <c r="F12" s="226">
        <v>-196.15899999999999</v>
      </c>
      <c r="G12" s="226">
        <v>-192.82569612</v>
      </c>
      <c r="H12" s="226">
        <v>-198.9605905</v>
      </c>
      <c r="I12" s="723">
        <v>-205.76782789999999</v>
      </c>
      <c r="J12" s="723">
        <v>-225.18730776000001</v>
      </c>
      <c r="K12" s="723">
        <v>-223.97400000000002</v>
      </c>
      <c r="L12" s="881">
        <v>-211.84800000000001</v>
      </c>
      <c r="M12" s="723">
        <v>-391.78628662</v>
      </c>
      <c r="N12" s="244">
        <v>-435.822</v>
      </c>
    </row>
    <row r="13" spans="1:14" s="9" customFormat="1" ht="24" customHeight="1" x14ac:dyDescent="0.25">
      <c r="B13" s="329" t="s">
        <v>219</v>
      </c>
      <c r="C13" s="228">
        <v>-93.546999999999997</v>
      </c>
      <c r="D13" s="228">
        <v>-94.395492999999988</v>
      </c>
      <c r="E13" s="228">
        <v>-94.291753999999997</v>
      </c>
      <c r="F13" s="228">
        <v>-104.846</v>
      </c>
      <c r="G13" s="228">
        <v>-91.264696119999996</v>
      </c>
      <c r="H13" s="228">
        <v>-96.511590500000011</v>
      </c>
      <c r="I13" s="777">
        <v>-99.817747249999996</v>
      </c>
      <c r="J13" s="777">
        <v>-113.06530776</v>
      </c>
      <c r="K13" s="878">
        <v>-99.093000000000004</v>
      </c>
      <c r="L13" s="882">
        <v>-103.46299999999999</v>
      </c>
      <c r="M13" s="878">
        <v>-187.77628662000001</v>
      </c>
      <c r="N13" s="752">
        <v>-202.55599999999998</v>
      </c>
    </row>
    <row r="14" spans="1:14" s="9" customFormat="1" ht="24" customHeight="1" x14ac:dyDescent="0.25">
      <c r="B14" s="329" t="s">
        <v>198</v>
      </c>
      <c r="C14" s="228">
        <v>-83.156999999999996</v>
      </c>
      <c r="D14" s="228">
        <v>-78.429000000000002</v>
      </c>
      <c r="E14" s="228">
        <v>-73.708000000000013</v>
      </c>
      <c r="F14" s="228">
        <v>-64.234999999999999</v>
      </c>
      <c r="G14" s="228">
        <v>-72.945999999999998</v>
      </c>
      <c r="H14" s="228">
        <v>-73.254999999999995</v>
      </c>
      <c r="I14" s="777">
        <v>-75.398843909999997</v>
      </c>
      <c r="J14" s="777">
        <v>-81.564000000000007</v>
      </c>
      <c r="K14" s="777">
        <v>-93.73</v>
      </c>
      <c r="L14" s="883">
        <v>-76.032000000000011</v>
      </c>
      <c r="M14" s="777">
        <v>-146.20099999999999</v>
      </c>
      <c r="N14" s="753">
        <v>-169.762</v>
      </c>
    </row>
    <row r="15" spans="1:14" s="9" customFormat="1" ht="24" customHeight="1" x14ac:dyDescent="0.25">
      <c r="B15" s="329" t="s">
        <v>220</v>
      </c>
      <c r="C15" s="228">
        <v>-26.146999999999998</v>
      </c>
      <c r="D15" s="228">
        <v>-26.212</v>
      </c>
      <c r="E15" s="228">
        <v>-26.484999999999999</v>
      </c>
      <c r="F15" s="228">
        <v>-27.077999999999999</v>
      </c>
      <c r="G15" s="228">
        <v>-28.614999999999998</v>
      </c>
      <c r="H15" s="228">
        <v>-29.193999999999999</v>
      </c>
      <c r="I15" s="777">
        <v>-30.551236739999993</v>
      </c>
      <c r="J15" s="777">
        <v>-30.558</v>
      </c>
      <c r="K15" s="879">
        <v>-31.151</v>
      </c>
      <c r="L15" s="884">
        <v>-32.353000000000002</v>
      </c>
      <c r="M15" s="879">
        <v>-57.808999999999997</v>
      </c>
      <c r="N15" s="246">
        <v>-63.504000000000005</v>
      </c>
    </row>
    <row r="16" spans="1:14" s="9" customFormat="1" ht="24" customHeight="1" x14ac:dyDescent="0.25">
      <c r="B16" s="237" t="s">
        <v>627</v>
      </c>
      <c r="C16" s="149">
        <v>-35.677000000000007</v>
      </c>
      <c r="D16" s="226">
        <v>-68.966475719999991</v>
      </c>
      <c r="E16" s="226">
        <v>-47.152999999999992</v>
      </c>
      <c r="F16" s="226">
        <v>-24.976000000000006</v>
      </c>
      <c r="G16" s="226">
        <v>-15.423</v>
      </c>
      <c r="H16" s="226">
        <v>-19.857999999999997</v>
      </c>
      <c r="I16" s="723">
        <v>-31.755784480000003</v>
      </c>
      <c r="J16" s="723">
        <v>-15.779000000000012</v>
      </c>
      <c r="K16" s="229">
        <v>-14.501000000000001</v>
      </c>
      <c r="L16" s="885">
        <v>-51.777000000000001</v>
      </c>
      <c r="M16" s="229">
        <v>-35.280999999999999</v>
      </c>
      <c r="N16" s="750">
        <v>-66.277999999999992</v>
      </c>
    </row>
    <row r="17" spans="2:17" s="9" customFormat="1" ht="24" customHeight="1" x14ac:dyDescent="0.25">
      <c r="B17" s="237" t="s">
        <v>320</v>
      </c>
      <c r="C17" s="227">
        <v>-26.088285000000003</v>
      </c>
      <c r="D17" s="226">
        <v>-20.325688550000002</v>
      </c>
      <c r="E17" s="226">
        <v>-17.27913315</v>
      </c>
      <c r="F17" s="226">
        <v>-16.852737560000001</v>
      </c>
      <c r="G17" s="226">
        <v>-20.556513000000002</v>
      </c>
      <c r="H17" s="226">
        <v>-14.782999999999999</v>
      </c>
      <c r="I17" s="723">
        <v>-11.299293</v>
      </c>
      <c r="J17" s="723">
        <v>-15.120611999999999</v>
      </c>
      <c r="K17" s="723">
        <v>-11.106432999999999</v>
      </c>
      <c r="L17" s="881">
        <v>-10.15638</v>
      </c>
      <c r="M17" s="723">
        <v>-35.339513000000004</v>
      </c>
      <c r="N17" s="244">
        <v>-21.262813000000001</v>
      </c>
    </row>
    <row r="18" spans="2:17" s="9" customFormat="1" ht="24" customHeight="1" x14ac:dyDescent="0.25">
      <c r="B18" s="237" t="s">
        <v>319</v>
      </c>
      <c r="C18" s="227">
        <v>-12.867715</v>
      </c>
      <c r="D18" s="226">
        <v>-12.93672172</v>
      </c>
      <c r="E18" s="226">
        <v>-11.244866849999999</v>
      </c>
      <c r="F18" s="226">
        <v>-11.165262439999999</v>
      </c>
      <c r="G18" s="226">
        <v>-10.354487000000001</v>
      </c>
      <c r="H18" s="226">
        <v>-8.6199999999999992</v>
      </c>
      <c r="I18" s="723">
        <v>-8.6597069999999992</v>
      </c>
      <c r="J18" s="723">
        <v>-9.9543879999999998</v>
      </c>
      <c r="K18" s="229">
        <v>-9.6455669999999998</v>
      </c>
      <c r="L18" s="885">
        <v>-9.0336200000000009</v>
      </c>
      <c r="M18" s="229">
        <v>-18.974487</v>
      </c>
      <c r="N18" s="750">
        <v>-18.679186999999999</v>
      </c>
    </row>
    <row r="19" spans="2:17" s="9" customFormat="1" ht="24" customHeight="1" x14ac:dyDescent="0.25">
      <c r="B19" s="148" t="s">
        <v>545</v>
      </c>
      <c r="C19" s="149">
        <v>-10.359000000000002</v>
      </c>
      <c r="D19" s="226">
        <v>-32.141000000000005</v>
      </c>
      <c r="E19" s="226">
        <v>-17.818999999999996</v>
      </c>
      <c r="F19" s="226">
        <v>-38.191000000000003</v>
      </c>
      <c r="G19" s="226">
        <v>-28.539000000000001</v>
      </c>
      <c r="H19" s="226">
        <v>-15.302</v>
      </c>
      <c r="I19" s="723">
        <v>-12.436441019999997</v>
      </c>
      <c r="J19" s="723">
        <v>-22.956999999999994</v>
      </c>
      <c r="K19" s="723">
        <v>-2.3899999999999997</v>
      </c>
      <c r="L19" s="881">
        <v>5.7999999999999968E-2</v>
      </c>
      <c r="M19" s="723">
        <v>-43.841000000000001</v>
      </c>
      <c r="N19" s="751">
        <v>-2.3319999999999999</v>
      </c>
    </row>
    <row r="20" spans="2:17" s="9" customFormat="1" ht="24" customHeight="1" x14ac:dyDescent="0.25">
      <c r="B20" s="237" t="s">
        <v>221</v>
      </c>
      <c r="C20" s="227">
        <v>-10.638999999999999</v>
      </c>
      <c r="D20" s="226">
        <v>-11.848000000000001</v>
      </c>
      <c r="E20" s="226">
        <v>15.715</v>
      </c>
      <c r="F20" s="226">
        <v>-8.4480000000000004</v>
      </c>
      <c r="G20" s="226">
        <v>22.515000000000001</v>
      </c>
      <c r="H20" s="723">
        <v>-12.048</v>
      </c>
      <c r="I20" s="229">
        <v>-4.3310000000000004</v>
      </c>
      <c r="J20" s="723">
        <v>-1.2849999999999999</v>
      </c>
      <c r="K20" s="723">
        <v>-5.407</v>
      </c>
      <c r="L20" s="881">
        <v>-10.372</v>
      </c>
      <c r="M20" s="723">
        <v>10.467000000000001</v>
      </c>
      <c r="N20" s="244">
        <v>-15.779</v>
      </c>
    </row>
    <row r="21" spans="2:17" s="9" customFormat="1" ht="24" customHeight="1" x14ac:dyDescent="0.25">
      <c r="B21" s="784" t="s">
        <v>572</v>
      </c>
      <c r="C21" s="781">
        <f t="shared" ref="C21:D21" si="0">SUM(C10:C12)+SUM(C16:C20)</f>
        <v>270.03100000000001</v>
      </c>
      <c r="D21" s="781">
        <f t="shared" si="0"/>
        <v>283.95162101000005</v>
      </c>
      <c r="E21" s="781">
        <f t="shared" ref="E21:H21" si="1">SUM(E10:E12)+SUM(E16:E20)</f>
        <v>399.06224599999996</v>
      </c>
      <c r="F21" s="781">
        <f t="shared" si="1"/>
        <v>384.45899999999995</v>
      </c>
      <c r="G21" s="781">
        <f t="shared" si="1"/>
        <v>417.76530387999986</v>
      </c>
      <c r="H21" s="781">
        <f t="shared" si="1"/>
        <v>425.27551749999998</v>
      </c>
      <c r="I21" s="781">
        <f t="shared" ref="I21" si="2">SUM(I10:I12)+SUM(I16:I20)</f>
        <v>411.15203882000014</v>
      </c>
      <c r="J21" s="781">
        <f>SUM(J10:J12)+SUM(J16:J20)</f>
        <v>390.5856922399999</v>
      </c>
      <c r="K21" s="823">
        <f>SUM(K10:K12)+SUM(K16:K20)</f>
        <v>373.6509999999999</v>
      </c>
      <c r="L21" s="886">
        <f>SUM(L10:L12)+SUM(L16:L20)</f>
        <v>345.96899999999994</v>
      </c>
      <c r="M21" s="823">
        <f>SUM(M10:M12)+SUM(M16:M20)</f>
        <v>843.0408213799999</v>
      </c>
      <c r="N21" s="790">
        <f>SUM(N10:N12)+SUM(N16:N20)</f>
        <v>719.62000000000012</v>
      </c>
    </row>
    <row r="22" spans="2:17" s="9" customFormat="1" ht="24" customHeight="1" x14ac:dyDescent="0.25">
      <c r="B22" s="236" t="s">
        <v>132</v>
      </c>
      <c r="C22" s="226">
        <v>-75.64</v>
      </c>
      <c r="D22" s="226">
        <v>-14.627000000000001</v>
      </c>
      <c r="E22" s="226">
        <v>-102.38800000000001</v>
      </c>
      <c r="F22" s="226">
        <v>-99.454999999999998</v>
      </c>
      <c r="G22" s="226">
        <v>-91.998000000000005</v>
      </c>
      <c r="H22" s="723">
        <v>-120.983</v>
      </c>
      <c r="I22" s="723">
        <v>-114.39580782999995</v>
      </c>
      <c r="J22" s="723">
        <v>-42.829000000000001</v>
      </c>
      <c r="K22" s="723">
        <v>-100.398</v>
      </c>
      <c r="L22" s="881">
        <v>-96.962000000000003</v>
      </c>
      <c r="M22" s="723">
        <v>-212.98099999999999</v>
      </c>
      <c r="N22" s="244">
        <v>-197.36</v>
      </c>
    </row>
    <row r="23" spans="2:17" s="9" customFormat="1" ht="24" customHeight="1" x14ac:dyDescent="0.25">
      <c r="B23" s="236" t="s">
        <v>185</v>
      </c>
      <c r="C23" s="230">
        <v>-75.64</v>
      </c>
      <c r="D23" s="230">
        <v>-79.180905252499997</v>
      </c>
      <c r="E23" s="226">
        <v>-102.38800000000001</v>
      </c>
      <c r="F23" s="226">
        <v>-99.454999999999998</v>
      </c>
      <c r="G23" s="226">
        <v>-110.8582381252</v>
      </c>
      <c r="H23" s="226">
        <v>-118.76175007500001</v>
      </c>
      <c r="I23" s="778">
        <v>-114.92856914999996</v>
      </c>
      <c r="J23" s="778">
        <v>-104.7685607496</v>
      </c>
      <c r="K23" s="723">
        <v>-100.398</v>
      </c>
      <c r="L23" s="881">
        <v>-103.63200000000001</v>
      </c>
      <c r="M23" s="723">
        <v>-229.6199882002</v>
      </c>
      <c r="N23" s="244">
        <v>-204.03</v>
      </c>
      <c r="P23" s="39"/>
    </row>
    <row r="24" spans="2:17" s="9" customFormat="1" ht="24" customHeight="1" x14ac:dyDescent="0.25">
      <c r="B24" s="148" t="s">
        <v>159</v>
      </c>
      <c r="C24" s="231">
        <v>1.0289999999999999</v>
      </c>
      <c r="D24" s="231">
        <v>0.56000000000000005</v>
      </c>
      <c r="E24" s="226">
        <v>0.41099999999999998</v>
      </c>
      <c r="F24" s="231">
        <v>-0.32400000000000001</v>
      </c>
      <c r="G24" s="231">
        <v>0.186</v>
      </c>
      <c r="H24" s="239">
        <v>-1.17</v>
      </c>
      <c r="I24" s="239">
        <v>0.1746048999999999</v>
      </c>
      <c r="J24" s="239">
        <v>0.97</v>
      </c>
      <c r="K24" s="239">
        <v>1.6850000000000001</v>
      </c>
      <c r="L24" s="887">
        <v>1.621</v>
      </c>
      <c r="M24" s="239">
        <v>-0.98399999999999999</v>
      </c>
      <c r="N24" s="247">
        <v>3.306</v>
      </c>
      <c r="Q24" s="40"/>
    </row>
    <row r="25" spans="2:17" s="9" customFormat="1" ht="24" customHeight="1" x14ac:dyDescent="0.25">
      <c r="B25" s="784" t="s">
        <v>222</v>
      </c>
      <c r="C25" s="781">
        <f t="shared" ref="C25:D25" si="3">C21+C23+C24</f>
        <v>195.42000000000002</v>
      </c>
      <c r="D25" s="781">
        <f t="shared" si="3"/>
        <v>205.33071575750006</v>
      </c>
      <c r="E25" s="781">
        <f t="shared" ref="E25" si="4">E21+E23+E24</f>
        <v>297.08524599999993</v>
      </c>
      <c r="F25" s="781">
        <f t="shared" ref="F25:H25" si="5">F21+F23+F24</f>
        <v>284.67999999999995</v>
      </c>
      <c r="G25" s="781">
        <f t="shared" si="5"/>
        <v>307.09306575479985</v>
      </c>
      <c r="H25" s="781">
        <f t="shared" si="5"/>
        <v>305.34376742499995</v>
      </c>
      <c r="I25" s="781">
        <f t="shared" ref="I25" si="6">I21+I23+I24</f>
        <v>296.39807457000023</v>
      </c>
      <c r="J25" s="781">
        <f>J21+J23+J24</f>
        <v>286.78713149039993</v>
      </c>
      <c r="K25" s="781">
        <f>K21+K23+K24</f>
        <v>274.93799999999993</v>
      </c>
      <c r="L25" s="781">
        <f>L21+L23+L24</f>
        <v>243.95799999999994</v>
      </c>
      <c r="M25" s="781">
        <f>M21+M23+M24</f>
        <v>612.43683317979992</v>
      </c>
      <c r="N25" s="783">
        <f>N21+N23+N24</f>
        <v>518.89600000000019</v>
      </c>
    </row>
    <row r="26" spans="2:17" s="9" customFormat="1" ht="14.25" customHeight="1" x14ac:dyDescent="0.25">
      <c r="B26" s="240"/>
      <c r="C26" s="206"/>
      <c r="D26" s="206"/>
      <c r="E26" s="206"/>
      <c r="F26" s="206"/>
      <c r="G26" s="206"/>
      <c r="H26" s="206"/>
      <c r="I26" s="206"/>
      <c r="J26" s="206"/>
      <c r="K26" s="206"/>
      <c r="L26" s="206"/>
      <c r="M26" s="206"/>
      <c r="N26" s="241"/>
    </row>
    <row r="27" spans="2:17" s="9" customFormat="1" ht="24" customHeight="1" x14ac:dyDescent="0.25">
      <c r="B27" s="259" t="s">
        <v>299</v>
      </c>
      <c r="C27" s="260">
        <v>-13.125</v>
      </c>
      <c r="D27" s="260">
        <v>-13.125</v>
      </c>
      <c r="E27" s="260">
        <v>-13.125</v>
      </c>
      <c r="F27" s="260">
        <v>-13.125</v>
      </c>
      <c r="G27" s="260">
        <v>-13.125</v>
      </c>
      <c r="H27" s="260">
        <v>-13.125</v>
      </c>
      <c r="I27" s="260">
        <v>-13.125</v>
      </c>
      <c r="J27" s="260">
        <v>-13.125</v>
      </c>
      <c r="K27" s="260">
        <v>-13.125</v>
      </c>
      <c r="L27" s="260">
        <v>-13.125</v>
      </c>
      <c r="M27" s="260">
        <f>G27+H27</f>
        <v>-26.25</v>
      </c>
      <c r="N27" s="261">
        <f>K27+L27</f>
        <v>-26.25</v>
      </c>
      <c r="P27" s="40"/>
    </row>
    <row r="28" spans="2:17" s="9" customFormat="1" ht="24" customHeight="1" x14ac:dyDescent="0.25">
      <c r="B28" s="248" t="s">
        <v>300</v>
      </c>
      <c r="C28" s="249">
        <f t="shared" ref="C28:D28" si="7">C25+C27</f>
        <v>182.29500000000002</v>
      </c>
      <c r="D28" s="249">
        <f t="shared" si="7"/>
        <v>192.20571575750006</v>
      </c>
      <c r="E28" s="249">
        <f t="shared" ref="E28:H28" si="8">E25+E27</f>
        <v>283.96024599999993</v>
      </c>
      <c r="F28" s="249">
        <f t="shared" si="8"/>
        <v>271.55499999999995</v>
      </c>
      <c r="G28" s="249">
        <f t="shared" si="8"/>
        <v>293.96806575479985</v>
      </c>
      <c r="H28" s="249">
        <f t="shared" si="8"/>
        <v>292.21876742499995</v>
      </c>
      <c r="I28" s="249">
        <f t="shared" ref="I28:J28" si="9">I25+I27</f>
        <v>283.27307457000023</v>
      </c>
      <c r="J28" s="249">
        <f t="shared" si="9"/>
        <v>273.66213149039993</v>
      </c>
      <c r="K28" s="880">
        <f t="shared" ref="K28:N28" si="10">K25+K27</f>
        <v>261.81299999999993</v>
      </c>
      <c r="L28" s="880">
        <f t="shared" si="10"/>
        <v>230.83299999999994</v>
      </c>
      <c r="M28" s="880">
        <f t="shared" si="10"/>
        <v>586.18683317979992</v>
      </c>
      <c r="N28" s="782">
        <f t="shared" si="10"/>
        <v>492.64600000000019</v>
      </c>
    </row>
    <row r="29" spans="2:17" s="9" customFormat="1" ht="24" customHeight="1" x14ac:dyDescent="0.25">
      <c r="B29" s="262" t="s">
        <v>164</v>
      </c>
      <c r="C29" s="263">
        <f t="shared" ref="C29:J29" si="11">C28/C52</f>
        <v>0.14583654309528649</v>
      </c>
      <c r="D29" s="263">
        <f t="shared" si="11"/>
        <v>0.15384563928870779</v>
      </c>
      <c r="E29" s="263">
        <f t="shared" si="11"/>
        <v>0.22827031693492489</v>
      </c>
      <c r="F29" s="263">
        <f t="shared" si="11"/>
        <v>0.21809505961438166</v>
      </c>
      <c r="G29" s="263">
        <f t="shared" si="11"/>
        <v>0.23594955898572542</v>
      </c>
      <c r="H29" s="263">
        <f t="shared" si="11"/>
        <v>0.23467390454597301</v>
      </c>
      <c r="I29" s="263">
        <f t="shared" si="11"/>
        <v>0.22723242184515863</v>
      </c>
      <c r="J29" s="263">
        <f t="shared" si="11"/>
        <v>0.21962588745371972</v>
      </c>
      <c r="K29" s="263">
        <f t="shared" ref="K29:N29" si="12">K28/K52</f>
        <v>0.20987886905439929</v>
      </c>
      <c r="L29" s="263">
        <f t="shared" si="12"/>
        <v>0.18502528807452961</v>
      </c>
      <c r="M29" s="263">
        <f t="shared" si="12"/>
        <v>0.47075262875115997</v>
      </c>
      <c r="N29" s="749">
        <f t="shared" si="12"/>
        <v>0.39488274236683996</v>
      </c>
    </row>
    <row r="30" spans="2:17" s="9" customFormat="1" ht="14.25" customHeight="1" x14ac:dyDescent="0.25">
      <c r="B30" s="240"/>
      <c r="C30" s="206"/>
      <c r="D30" s="206"/>
      <c r="E30" s="206"/>
      <c r="F30" s="206"/>
      <c r="G30" s="206"/>
      <c r="H30" s="206"/>
      <c r="I30" s="206"/>
      <c r="J30" s="206"/>
      <c r="K30" s="206"/>
      <c r="L30" s="206"/>
      <c r="M30" s="206"/>
      <c r="N30" s="241"/>
    </row>
    <row r="31" spans="2:17" s="9" customFormat="1" ht="24" customHeight="1" x14ac:dyDescent="0.25">
      <c r="B31" s="784" t="s">
        <v>222</v>
      </c>
      <c r="C31" s="781">
        <f t="shared" ref="C31:D31" si="13">C25</f>
        <v>195.42000000000002</v>
      </c>
      <c r="D31" s="781">
        <f t="shared" si="13"/>
        <v>205.33071575750006</v>
      </c>
      <c r="E31" s="781">
        <f t="shared" ref="E31" si="14">E25</f>
        <v>297.08524599999993</v>
      </c>
      <c r="F31" s="781">
        <f t="shared" ref="F31" si="15">F25</f>
        <v>284.67999999999995</v>
      </c>
      <c r="G31" s="781">
        <f t="shared" ref="G31:H31" si="16">G25</f>
        <v>307.09306575479985</v>
      </c>
      <c r="H31" s="781">
        <f t="shared" si="16"/>
        <v>305.34376742499995</v>
      </c>
      <c r="I31" s="781">
        <f t="shared" ref="I31:J31" si="17">I25</f>
        <v>296.39807457000023</v>
      </c>
      <c r="J31" s="781">
        <f t="shared" si="17"/>
        <v>286.78713149039993</v>
      </c>
      <c r="K31" s="781">
        <f t="shared" ref="K31:N31" si="18">K25</f>
        <v>274.93799999999993</v>
      </c>
      <c r="L31" s="781">
        <f t="shared" si="18"/>
        <v>243.95799999999994</v>
      </c>
      <c r="M31" s="781">
        <f t="shared" si="18"/>
        <v>612.43683317979992</v>
      </c>
      <c r="N31" s="783">
        <f t="shared" si="18"/>
        <v>518.89600000000019</v>
      </c>
    </row>
    <row r="32" spans="2:17" s="9" customFormat="1" ht="24" customHeight="1" x14ac:dyDescent="0.25">
      <c r="B32" s="237" t="s">
        <v>573</v>
      </c>
      <c r="C32" s="250">
        <v>9.7540000000000013</v>
      </c>
      <c r="D32" s="250">
        <v>29.241999999999997</v>
      </c>
      <c r="E32" s="250">
        <v>-7.8949999999999996</v>
      </c>
      <c r="F32" s="250">
        <v>31.995000000000001</v>
      </c>
      <c r="G32" s="250">
        <v>-4.4270000000000005</v>
      </c>
      <c r="H32" s="250">
        <v>7.47</v>
      </c>
      <c r="I32" s="778">
        <v>33.253386879999915</v>
      </c>
      <c r="J32" s="778">
        <v>28.351999999999997</v>
      </c>
      <c r="K32" s="778">
        <v>18.872999999999998</v>
      </c>
      <c r="L32" s="891">
        <v>47.170999999999999</v>
      </c>
      <c r="M32" s="778">
        <v>3.0429999999999993</v>
      </c>
      <c r="N32" s="754">
        <v>66.043999999999997</v>
      </c>
    </row>
    <row r="33" spans="2:20" s="9" customFormat="1" ht="24" customHeight="1" x14ac:dyDescent="0.25">
      <c r="B33" s="237" t="s">
        <v>574</v>
      </c>
      <c r="C33" s="149">
        <v>-1.48</v>
      </c>
      <c r="D33" s="149">
        <v>3.5300000000000002</v>
      </c>
      <c r="E33" s="149">
        <v>-10.244999999999999</v>
      </c>
      <c r="F33" s="149">
        <v>9.7259999999999991</v>
      </c>
      <c r="G33" s="149">
        <v>-23.358999999999995</v>
      </c>
      <c r="H33" s="150">
        <v>11.755000000000001</v>
      </c>
      <c r="I33" s="150">
        <v>-9.9486770399999891</v>
      </c>
      <c r="J33" s="150">
        <v>20.843</v>
      </c>
      <c r="K33" s="150">
        <v>-10.088000000000001</v>
      </c>
      <c r="L33" s="892">
        <v>0.70700000000000007</v>
      </c>
      <c r="M33" s="150">
        <v>-11.603999999999992</v>
      </c>
      <c r="N33" s="245">
        <v>-9.3810000000000002</v>
      </c>
      <c r="R33" s="59"/>
    </row>
    <row r="34" spans="2:20" s="9" customFormat="1" ht="24" customHeight="1" x14ac:dyDescent="0.25">
      <c r="B34" s="784" t="s">
        <v>575</v>
      </c>
      <c r="C34" s="781">
        <f t="shared" ref="C34:D34" si="19">C31+C32+C33</f>
        <v>203.69400000000002</v>
      </c>
      <c r="D34" s="781">
        <f t="shared" si="19"/>
        <v>238.10271575750005</v>
      </c>
      <c r="E34" s="781">
        <f t="shared" ref="E34" si="20">E31+E32+E33</f>
        <v>278.94524599999994</v>
      </c>
      <c r="F34" s="781">
        <f t="shared" ref="F34:H34" si="21">F31+F32+F33</f>
        <v>326.40099999999995</v>
      </c>
      <c r="G34" s="781">
        <f t="shared" si="21"/>
        <v>279.30706575479985</v>
      </c>
      <c r="H34" s="781">
        <f t="shared" si="21"/>
        <v>324.56876742499998</v>
      </c>
      <c r="I34" s="781">
        <f t="shared" ref="I34:J34" si="22">I31+I32+I33</f>
        <v>319.70278441000016</v>
      </c>
      <c r="J34" s="781">
        <f t="shared" si="22"/>
        <v>335.98213149039992</v>
      </c>
      <c r="K34" s="781">
        <f t="shared" ref="K34:N34" si="23">K31+K32+K33</f>
        <v>283.7229999999999</v>
      </c>
      <c r="L34" s="781">
        <f t="shared" si="23"/>
        <v>291.83599999999996</v>
      </c>
      <c r="M34" s="781">
        <f t="shared" si="23"/>
        <v>603.87583317979988</v>
      </c>
      <c r="N34" s="783">
        <f t="shared" si="23"/>
        <v>575.5590000000002</v>
      </c>
    </row>
    <row r="35" spans="2:20" s="9" customFormat="1" ht="14.25" customHeight="1" x14ac:dyDescent="0.25">
      <c r="B35" s="240"/>
      <c r="C35" s="206"/>
      <c r="D35" s="206"/>
      <c r="E35" s="206"/>
      <c r="F35" s="206"/>
      <c r="G35" s="206"/>
      <c r="H35" s="206"/>
      <c r="I35" s="206"/>
      <c r="J35" s="206"/>
      <c r="K35" s="206"/>
      <c r="L35" s="206"/>
      <c r="M35" s="206"/>
      <c r="N35" s="241"/>
      <c r="Q35" s="39"/>
    </row>
    <row r="36" spans="2:20" s="9" customFormat="1" ht="24" customHeight="1" x14ac:dyDescent="0.25">
      <c r="B36" s="259" t="s">
        <v>223</v>
      </c>
      <c r="C36" s="260">
        <v>-13.125</v>
      </c>
      <c r="D36" s="260">
        <v>-13.125</v>
      </c>
      <c r="E36" s="260">
        <v>-13.125</v>
      </c>
      <c r="F36" s="260">
        <v>-13.125</v>
      </c>
      <c r="G36" s="260">
        <v>-13.125</v>
      </c>
      <c r="H36" s="260">
        <v>-13.125</v>
      </c>
      <c r="I36" s="260">
        <v>-13.125</v>
      </c>
      <c r="J36" s="260">
        <v>-13.125</v>
      </c>
      <c r="K36" s="260">
        <v>-13.125</v>
      </c>
      <c r="L36" s="260">
        <v>-13.125</v>
      </c>
      <c r="M36" s="260">
        <f>G36+H36</f>
        <v>-26.25</v>
      </c>
      <c r="N36" s="261">
        <f>K36+L36</f>
        <v>-26.25</v>
      </c>
    </row>
    <row r="37" spans="2:20" s="9" customFormat="1" ht="24" customHeight="1" x14ac:dyDescent="0.25">
      <c r="B37" s="248" t="s">
        <v>224</v>
      </c>
      <c r="C37" s="249">
        <f>C34+C36</f>
        <v>190.56900000000002</v>
      </c>
      <c r="D37" s="249">
        <f t="shared" ref="D37" si="24">D34+D36</f>
        <v>224.97771575750005</v>
      </c>
      <c r="E37" s="249">
        <f t="shared" ref="E37" si="25">E34+E36</f>
        <v>265.82024599999994</v>
      </c>
      <c r="F37" s="249">
        <f t="shared" ref="F37" si="26">F34+F36</f>
        <v>313.27599999999995</v>
      </c>
      <c r="G37" s="249">
        <f t="shared" ref="G37:H37" si="27">G34+G36</f>
        <v>266.18206575479985</v>
      </c>
      <c r="H37" s="249">
        <f t="shared" si="27"/>
        <v>311.44376742499998</v>
      </c>
      <c r="I37" s="249">
        <f t="shared" ref="I37:J37" si="28">I34+I36</f>
        <v>306.57778441000016</v>
      </c>
      <c r="J37" s="249">
        <f t="shared" si="28"/>
        <v>322.85713149039992</v>
      </c>
      <c r="K37" s="880">
        <f t="shared" ref="K37:N37" si="29">K34+K36</f>
        <v>270.5979999999999</v>
      </c>
      <c r="L37" s="880">
        <f t="shared" si="29"/>
        <v>278.71099999999996</v>
      </c>
      <c r="M37" s="880">
        <f t="shared" si="29"/>
        <v>577.62583317979988</v>
      </c>
      <c r="N37" s="782">
        <f t="shared" si="29"/>
        <v>549.3090000000002</v>
      </c>
    </row>
    <row r="38" spans="2:20" s="9" customFormat="1" ht="24" customHeight="1" x14ac:dyDescent="0.25">
      <c r="B38" s="262" t="s">
        <v>165</v>
      </c>
      <c r="C38" s="263">
        <f t="shared" ref="C38:J38" si="30">C37/C52</f>
        <v>0.15245576774527908</v>
      </c>
      <c r="D38" s="263">
        <f t="shared" si="30"/>
        <v>0.1800770615484425</v>
      </c>
      <c r="E38" s="263">
        <f t="shared" si="30"/>
        <v>0.21368791109632895</v>
      </c>
      <c r="F38" s="263">
        <f t="shared" si="30"/>
        <v>0.25160261418775215</v>
      </c>
      <c r="G38" s="263">
        <f t="shared" si="30"/>
        <v>0.21364749556552443</v>
      </c>
      <c r="H38" s="263">
        <f t="shared" si="30"/>
        <v>0.25011304233528103</v>
      </c>
      <c r="I38" s="263">
        <f t="shared" si="30"/>
        <v>0.24592670002666392</v>
      </c>
      <c r="J38" s="263">
        <f t="shared" si="30"/>
        <v>0.25910703698085025</v>
      </c>
      <c r="K38" s="263">
        <f t="shared" ref="K38:N38" si="31">K37/K52</f>
        <v>0.21692124611223404</v>
      </c>
      <c r="L38" s="263">
        <f t="shared" si="31"/>
        <v>0.22340212649205368</v>
      </c>
      <c r="M38" s="263">
        <f t="shared" si="31"/>
        <v>0.46387749436290165</v>
      </c>
      <c r="N38" s="749">
        <f t="shared" si="31"/>
        <v>0.44030123928091669</v>
      </c>
    </row>
    <row r="39" spans="2:20" s="9" customFormat="1" ht="14.25" customHeight="1" x14ac:dyDescent="0.25">
      <c r="B39" s="240"/>
      <c r="C39" s="206"/>
      <c r="D39" s="206"/>
      <c r="E39" s="206"/>
      <c r="F39" s="206"/>
      <c r="G39" s="206"/>
      <c r="H39" s="206"/>
      <c r="I39" s="206"/>
      <c r="J39" s="206"/>
      <c r="K39" s="206"/>
      <c r="L39" s="206"/>
      <c r="M39" s="206"/>
      <c r="N39" s="241"/>
    </row>
    <row r="40" spans="2:20" s="9" customFormat="1" ht="24" customHeight="1" x14ac:dyDescent="0.25">
      <c r="B40" s="238" t="s">
        <v>576</v>
      </c>
      <c r="C40" s="781">
        <f t="shared" ref="C40:D40" si="32">C34</f>
        <v>203.69400000000002</v>
      </c>
      <c r="D40" s="781">
        <f t="shared" si="32"/>
        <v>238.10271575750005</v>
      </c>
      <c r="E40" s="781">
        <f t="shared" ref="E40" si="33">E34</f>
        <v>278.94524599999994</v>
      </c>
      <c r="F40" s="781">
        <f t="shared" ref="F40" si="34">F34</f>
        <v>326.40099999999995</v>
      </c>
      <c r="G40" s="781">
        <f t="shared" ref="G40:H40" si="35">G34</f>
        <v>279.30706575479985</v>
      </c>
      <c r="H40" s="781">
        <f t="shared" si="35"/>
        <v>324.56876742499998</v>
      </c>
      <c r="I40" s="781">
        <f t="shared" ref="I40:J40" si="36">I34</f>
        <v>319.70278441000016</v>
      </c>
      <c r="J40" s="781">
        <f t="shared" si="36"/>
        <v>335.98213149039992</v>
      </c>
      <c r="K40" s="781">
        <f t="shared" ref="K40:N40" si="37">K34</f>
        <v>283.7229999999999</v>
      </c>
      <c r="L40" s="781">
        <f t="shared" si="37"/>
        <v>291.83599999999996</v>
      </c>
      <c r="M40" s="781">
        <f t="shared" si="37"/>
        <v>603.87583317979988</v>
      </c>
      <c r="N40" s="783">
        <f t="shared" si="37"/>
        <v>575.5590000000002</v>
      </c>
      <c r="P40" s="39"/>
      <c r="Q40" s="35"/>
      <c r="R40" s="35"/>
      <c r="S40" s="35"/>
      <c r="T40" s="35"/>
    </row>
    <row r="41" spans="2:20" s="9" customFormat="1" ht="24" customHeight="1" x14ac:dyDescent="0.25">
      <c r="B41" s="237" t="s">
        <v>577</v>
      </c>
      <c r="C41" s="250">
        <v>-20.760999999999999</v>
      </c>
      <c r="D41" s="250">
        <v>-180.79911400999998</v>
      </c>
      <c r="E41" s="250">
        <v>0</v>
      </c>
      <c r="F41" s="250">
        <v>-51.51</v>
      </c>
      <c r="G41" s="250">
        <v>-12.14</v>
      </c>
      <c r="H41" s="251">
        <v>0</v>
      </c>
      <c r="I41" s="251">
        <v>0</v>
      </c>
      <c r="J41" s="251">
        <v>-149.93099999999998</v>
      </c>
      <c r="K41" s="251">
        <v>0</v>
      </c>
      <c r="L41" s="888">
        <v>-23</v>
      </c>
      <c r="M41" s="251">
        <v>-12.14</v>
      </c>
      <c r="N41" s="252">
        <v>-23</v>
      </c>
      <c r="Q41" s="35"/>
      <c r="R41" s="84"/>
      <c r="S41" s="35"/>
      <c r="T41" s="35"/>
    </row>
    <row r="42" spans="2:20" s="9" customFormat="1" ht="24" customHeight="1" x14ac:dyDescent="0.25">
      <c r="B42" s="148" t="s">
        <v>578</v>
      </c>
      <c r="C42" s="231">
        <v>0</v>
      </c>
      <c r="D42" s="231">
        <v>0</v>
      </c>
      <c r="E42" s="250">
        <v>0</v>
      </c>
      <c r="F42" s="250">
        <v>0</v>
      </c>
      <c r="G42" s="231">
        <v>-43.292000000000002</v>
      </c>
      <c r="H42" s="778">
        <v>11.949892</v>
      </c>
      <c r="I42" s="779">
        <v>0</v>
      </c>
      <c r="J42" s="239">
        <v>0</v>
      </c>
      <c r="K42" s="239">
        <v>0</v>
      </c>
      <c r="L42" s="889">
        <v>0</v>
      </c>
      <c r="M42" s="239">
        <v>-31.342108000000003</v>
      </c>
      <c r="N42" s="247">
        <v>0</v>
      </c>
      <c r="Q42" s="35"/>
      <c r="R42" s="35"/>
      <c r="S42" s="35"/>
      <c r="T42" s="35"/>
    </row>
    <row r="43" spans="2:20" s="9" customFormat="1" ht="24" customHeight="1" x14ac:dyDescent="0.25">
      <c r="B43" s="237" t="s">
        <v>543</v>
      </c>
      <c r="C43" s="253">
        <v>0</v>
      </c>
      <c r="D43" s="253">
        <v>0</v>
      </c>
      <c r="E43" s="250">
        <v>0</v>
      </c>
      <c r="F43" s="250">
        <v>0</v>
      </c>
      <c r="G43" s="253">
        <v>0</v>
      </c>
      <c r="H43" s="239">
        <v>0</v>
      </c>
      <c r="I43" s="239">
        <v>0</v>
      </c>
      <c r="J43" s="779">
        <v>-25</v>
      </c>
      <c r="K43" s="779">
        <v>0</v>
      </c>
      <c r="L43" s="890">
        <v>0</v>
      </c>
      <c r="M43" s="779">
        <v>0</v>
      </c>
      <c r="N43" s="254">
        <v>0</v>
      </c>
      <c r="Q43" s="35"/>
      <c r="R43" s="35"/>
      <c r="S43" s="35"/>
      <c r="T43" s="35"/>
    </row>
    <row r="44" spans="2:20" s="9" customFormat="1" ht="24" customHeight="1" x14ac:dyDescent="0.25">
      <c r="B44" s="237" t="s">
        <v>579</v>
      </c>
      <c r="C44" s="250">
        <v>-3.1720000000000002</v>
      </c>
      <c r="D44" s="250">
        <v>-2.1745070000000002</v>
      </c>
      <c r="E44" s="250">
        <v>-1.5662459999999996</v>
      </c>
      <c r="F44" s="250">
        <v>-63.649000000000001</v>
      </c>
      <c r="G44" s="250">
        <v>-9.6033038800000003</v>
      </c>
      <c r="H44" s="251">
        <v>-4.2904095</v>
      </c>
      <c r="I44" s="251">
        <v>-1.837108</v>
      </c>
      <c r="J44" s="251">
        <v>-38.653692239999998</v>
      </c>
      <c r="K44" s="251">
        <v>0</v>
      </c>
      <c r="L44" s="888">
        <v>0</v>
      </c>
      <c r="M44" s="251">
        <v>-13.893713380000001</v>
      </c>
      <c r="N44" s="252">
        <v>0</v>
      </c>
      <c r="Q44" s="84"/>
      <c r="R44" s="35"/>
      <c r="S44" s="35"/>
      <c r="T44" s="35"/>
    </row>
    <row r="45" spans="2:20" s="9" customFormat="1" ht="24" customHeight="1" x14ac:dyDescent="0.25">
      <c r="B45" s="255" t="s">
        <v>580</v>
      </c>
      <c r="C45" s="231">
        <v>0</v>
      </c>
      <c r="D45" s="231">
        <v>64.553905252500002</v>
      </c>
      <c r="E45" s="250">
        <v>0</v>
      </c>
      <c r="F45" s="250">
        <v>0</v>
      </c>
      <c r="G45" s="231">
        <f t="shared" ref="G45:N45" si="38">-G23+G22</f>
        <v>18.860238125199999</v>
      </c>
      <c r="H45" s="780">
        <f t="shared" si="38"/>
        <v>-2.2212499249999951</v>
      </c>
      <c r="I45" s="239">
        <f t="shared" si="38"/>
        <v>0.53276132000000587</v>
      </c>
      <c r="J45" s="239">
        <f t="shared" si="38"/>
        <v>61.939560749599998</v>
      </c>
      <c r="K45" s="239">
        <f t="shared" si="38"/>
        <v>0</v>
      </c>
      <c r="L45" s="887">
        <f t="shared" si="38"/>
        <v>6.6700000000000017</v>
      </c>
      <c r="M45" s="239">
        <f t="shared" si="38"/>
        <v>16.638988200200004</v>
      </c>
      <c r="N45" s="247">
        <f t="shared" si="38"/>
        <v>6.6699999999999875</v>
      </c>
      <c r="Q45" s="35"/>
      <c r="R45" s="35"/>
      <c r="S45" s="35"/>
      <c r="T45" s="35"/>
    </row>
    <row r="46" spans="2:20" s="9" customFormat="1" ht="24" customHeight="1" x14ac:dyDescent="0.25">
      <c r="B46" s="784" t="s">
        <v>225</v>
      </c>
      <c r="C46" s="781">
        <f t="shared" ref="C46:J46" si="39">SUM(C40:C45)</f>
        <v>179.76100000000002</v>
      </c>
      <c r="D46" s="781">
        <f t="shared" si="39"/>
        <v>119.68300000000008</v>
      </c>
      <c r="E46" s="781">
        <f t="shared" si="39"/>
        <v>277.37899999999996</v>
      </c>
      <c r="F46" s="781">
        <f t="shared" si="39"/>
        <v>211.24199999999996</v>
      </c>
      <c r="G46" s="781">
        <f t="shared" si="39"/>
        <v>233.13199999999986</v>
      </c>
      <c r="H46" s="781">
        <f t="shared" si="39"/>
        <v>330.00699999999995</v>
      </c>
      <c r="I46" s="781">
        <f t="shared" si="39"/>
        <v>318.39843773000018</v>
      </c>
      <c r="J46" s="781">
        <f t="shared" si="39"/>
        <v>184.33699999999993</v>
      </c>
      <c r="K46" s="781">
        <f t="shared" ref="K46" si="40">SUM(K40:K45)</f>
        <v>283.7229999999999</v>
      </c>
      <c r="L46" s="781">
        <f>SUM(L40:L45)</f>
        <v>275.50599999999997</v>
      </c>
      <c r="M46" s="781">
        <f>SUM(M40:M45)</f>
        <v>563.1389999999999</v>
      </c>
      <c r="N46" s="783">
        <f>SUM(N40:N45)</f>
        <v>559.22900000000016</v>
      </c>
      <c r="Q46" s="47"/>
      <c r="R46" s="35"/>
      <c r="S46" s="35"/>
      <c r="T46" s="35"/>
    </row>
    <row r="47" spans="2:20" s="9" customFormat="1" ht="13.5" customHeight="1" x14ac:dyDescent="0.25">
      <c r="B47" s="242"/>
      <c r="C47" s="243"/>
      <c r="D47" s="243"/>
      <c r="E47" s="243"/>
      <c r="F47" s="243"/>
      <c r="G47" s="243"/>
      <c r="H47" s="243"/>
      <c r="I47" s="243"/>
      <c r="J47" s="243"/>
      <c r="K47" s="243"/>
      <c r="L47" s="243"/>
      <c r="M47" s="243"/>
      <c r="N47" s="264"/>
    </row>
    <row r="48" spans="2:20" s="9" customFormat="1" ht="24" customHeight="1" x14ac:dyDescent="0.25">
      <c r="B48" s="259" t="s">
        <v>223</v>
      </c>
      <c r="C48" s="260">
        <v>-13.125</v>
      </c>
      <c r="D48" s="260">
        <v>-13.125</v>
      </c>
      <c r="E48" s="260">
        <v>-13.125</v>
      </c>
      <c r="F48" s="260">
        <v>-13.125</v>
      </c>
      <c r="G48" s="260">
        <v>-13.125</v>
      </c>
      <c r="H48" s="260">
        <v>-13.125</v>
      </c>
      <c r="I48" s="260">
        <v>-13.125</v>
      </c>
      <c r="J48" s="260">
        <v>-13.125</v>
      </c>
      <c r="K48" s="260">
        <v>-13.125</v>
      </c>
      <c r="L48" s="260">
        <v>-13.125</v>
      </c>
      <c r="M48" s="260">
        <f>H48+I48</f>
        <v>-26.25</v>
      </c>
      <c r="N48" s="261">
        <f>K48+L48</f>
        <v>-26.25</v>
      </c>
    </row>
    <row r="49" spans="2:14" s="9" customFormat="1" ht="24" customHeight="1" x14ac:dyDescent="0.25">
      <c r="B49" s="248" t="s">
        <v>226</v>
      </c>
      <c r="C49" s="249">
        <f>C46+C48</f>
        <v>166.63600000000002</v>
      </c>
      <c r="D49" s="249">
        <f t="shared" ref="D49" si="41">D46+D48</f>
        <v>106.55800000000008</v>
      </c>
      <c r="E49" s="249">
        <f t="shared" ref="E49" si="42">E46+E48</f>
        <v>264.25399999999996</v>
      </c>
      <c r="F49" s="249">
        <f t="shared" ref="F49" si="43">F46+F48</f>
        <v>198.11699999999996</v>
      </c>
      <c r="G49" s="249">
        <f t="shared" ref="G49:H49" si="44">G46+G48</f>
        <v>220.00699999999986</v>
      </c>
      <c r="H49" s="249">
        <f t="shared" si="44"/>
        <v>316.88199999999995</v>
      </c>
      <c r="I49" s="249">
        <f t="shared" ref="I49:J49" si="45">I46+I48</f>
        <v>305.27343773000018</v>
      </c>
      <c r="J49" s="249">
        <f t="shared" si="45"/>
        <v>171.21199999999993</v>
      </c>
      <c r="K49" s="880">
        <f t="shared" ref="K49:N49" si="46">K46+K48</f>
        <v>270.5979999999999</v>
      </c>
      <c r="L49" s="880">
        <f t="shared" si="46"/>
        <v>262.38099999999997</v>
      </c>
      <c r="M49" s="880">
        <f t="shared" si="46"/>
        <v>536.8889999999999</v>
      </c>
      <c r="N49" s="782">
        <f t="shared" si="46"/>
        <v>532.97900000000016</v>
      </c>
    </row>
    <row r="50" spans="2:14" s="9" customFormat="1" ht="24" customHeight="1" x14ac:dyDescent="0.25">
      <c r="B50" s="258" t="s">
        <v>166</v>
      </c>
      <c r="C50" s="256">
        <f t="shared" ref="C50:H50" si="47">C49/C52</f>
        <v>0.13330929644381997</v>
      </c>
      <c r="D50" s="256">
        <f t="shared" si="47"/>
        <v>8.5291343010887782E-2</v>
      </c>
      <c r="E50" s="256">
        <f t="shared" si="47"/>
        <v>0.21242883530718468</v>
      </c>
      <c r="F50" s="256">
        <f t="shared" si="47"/>
        <v>0.15911450323368179</v>
      </c>
      <c r="G50" s="256">
        <f t="shared" si="47"/>
        <v>0.17658569304283309</v>
      </c>
      <c r="H50" s="256">
        <f t="shared" si="47"/>
        <v>0.2544803568765413</v>
      </c>
      <c r="I50" s="256">
        <f t="shared" ref="I50:J50" si="48">I49/I52</f>
        <v>0.24488039565950162</v>
      </c>
      <c r="J50" s="256">
        <f t="shared" si="48"/>
        <v>0.13740515444331891</v>
      </c>
      <c r="K50" s="256">
        <f t="shared" ref="K50:N50" si="49">K49/K52</f>
        <v>0.21692124611223404</v>
      </c>
      <c r="L50" s="256">
        <f t="shared" si="49"/>
        <v>0.21031273739146117</v>
      </c>
      <c r="M50" s="256">
        <f t="shared" si="49"/>
        <v>0.43116271774063963</v>
      </c>
      <c r="N50" s="257">
        <f t="shared" si="49"/>
        <v>0.42721185018032415</v>
      </c>
    </row>
    <row r="51" spans="2:14" s="9" customFormat="1" ht="15.75" customHeight="1" x14ac:dyDescent="0.25">
      <c r="B51" s="234"/>
      <c r="C51" s="235"/>
      <c r="D51" s="235"/>
      <c r="E51" s="235"/>
      <c r="F51" s="235"/>
      <c r="G51" s="235"/>
      <c r="H51" s="235"/>
      <c r="I51" s="235"/>
      <c r="J51" s="235"/>
      <c r="K51" s="235"/>
      <c r="L51" s="235"/>
      <c r="M51" s="235"/>
      <c r="N51" s="235"/>
    </row>
    <row r="52" spans="2:14" s="9" customFormat="1" ht="24" customHeight="1" x14ac:dyDescent="0.25">
      <c r="B52" s="232" t="s">
        <v>227</v>
      </c>
      <c r="C52" s="775">
        <v>1249.995345</v>
      </c>
      <c r="D52" s="775">
        <v>1249.3413309999999</v>
      </c>
      <c r="E52" s="775">
        <v>1243.9648299999999</v>
      </c>
      <c r="F52" s="775">
        <v>1245.122198</v>
      </c>
      <c r="G52" s="775">
        <v>1245.8936859999999</v>
      </c>
      <c r="H52" s="775">
        <v>1245.212023</v>
      </c>
      <c r="I52" s="775">
        <v>1246.622609</v>
      </c>
      <c r="J52" s="775">
        <v>1246.037681</v>
      </c>
      <c r="K52" s="775">
        <f>1250.367223-2.919106</f>
        <v>1247.4481169999999</v>
      </c>
      <c r="L52" s="775">
        <v>1247.5754119999999</v>
      </c>
      <c r="M52" s="775">
        <f>H52</f>
        <v>1245.212023</v>
      </c>
      <c r="N52" s="775">
        <f>L52</f>
        <v>1247.5754119999999</v>
      </c>
    </row>
    <row r="53" spans="2:14" s="9" customFormat="1" ht="24" customHeight="1" x14ac:dyDescent="0.25">
      <c r="B53" s="169" t="s">
        <v>494</v>
      </c>
      <c r="C53" s="169"/>
      <c r="D53" s="169"/>
      <c r="E53" s="169"/>
      <c r="F53" s="169"/>
      <c r="G53" s="169"/>
      <c r="H53" s="169"/>
      <c r="I53" s="169"/>
      <c r="J53" s="169"/>
      <c r="K53" s="169"/>
      <c r="L53" s="169"/>
      <c r="M53" s="169"/>
      <c r="N53" s="169"/>
    </row>
    <row r="54" spans="2:14" s="9" customFormat="1" ht="12.75" customHeight="1" x14ac:dyDescent="0.25">
      <c r="B54" s="121"/>
      <c r="C54" s="149"/>
      <c r="D54" s="149"/>
      <c r="E54" s="149"/>
      <c r="F54" s="149"/>
      <c r="G54" s="149"/>
      <c r="H54" s="149"/>
      <c r="I54" s="149"/>
      <c r="J54" s="149"/>
      <c r="K54" s="149"/>
      <c r="L54" s="149"/>
      <c r="M54" s="149"/>
      <c r="N54" s="149"/>
    </row>
    <row r="55" spans="2:14" s="9" customFormat="1" ht="21.75" customHeight="1" x14ac:dyDescent="0.25">
      <c r="B55" s="169" t="s">
        <v>546</v>
      </c>
      <c r="C55" s="170"/>
      <c r="D55" s="170"/>
      <c r="E55" s="170"/>
      <c r="F55" s="170"/>
      <c r="G55" s="170"/>
      <c r="H55" s="170"/>
      <c r="I55" s="170"/>
      <c r="J55" s="170"/>
      <c r="K55" s="170"/>
      <c r="L55" s="170"/>
      <c r="M55" s="170"/>
      <c r="N55" s="170"/>
    </row>
    <row r="56" spans="2:14" ht="21.75" customHeight="1" x14ac:dyDescent="0.25">
      <c r="B56" s="169" t="s">
        <v>316</v>
      </c>
      <c r="C56" s="233"/>
      <c r="D56" s="233"/>
      <c r="E56" s="233"/>
      <c r="F56" s="233"/>
      <c r="G56" s="233"/>
      <c r="H56" s="233"/>
      <c r="I56" s="233"/>
      <c r="J56" s="233"/>
      <c r="K56" s="233"/>
      <c r="L56" s="233"/>
      <c r="M56" s="233"/>
      <c r="N56" s="233"/>
    </row>
    <row r="57" spans="2:14" ht="21.75" customHeight="1" x14ac:dyDescent="0.25">
      <c r="B57" s="169" t="s">
        <v>586</v>
      </c>
      <c r="C57" s="169"/>
      <c r="D57" s="169"/>
      <c r="E57" s="169"/>
      <c r="F57" s="169"/>
      <c r="G57" s="169"/>
      <c r="H57" s="169"/>
      <c r="I57" s="169"/>
      <c r="J57" s="169"/>
      <c r="K57" s="169"/>
      <c r="L57" s="169"/>
      <c r="M57" s="169"/>
      <c r="N57" s="169"/>
    </row>
    <row r="58" spans="2:14" ht="21.75" customHeight="1" x14ac:dyDescent="0.25">
      <c r="B58" s="169" t="s">
        <v>587</v>
      </c>
      <c r="C58" s="169"/>
      <c r="D58" s="169"/>
      <c r="E58" s="169"/>
      <c r="F58" s="169"/>
      <c r="G58" s="169"/>
      <c r="H58" s="169"/>
      <c r="I58" s="169"/>
      <c r="J58" s="169"/>
      <c r="K58" s="169"/>
      <c r="L58" s="169"/>
      <c r="M58" s="169"/>
      <c r="N58" s="169"/>
    </row>
    <row r="59" spans="2:14" s="9" customFormat="1" ht="21.75" customHeight="1" x14ac:dyDescent="0.25">
      <c r="B59" s="169" t="s">
        <v>588</v>
      </c>
      <c r="C59" s="170"/>
      <c r="D59" s="170"/>
      <c r="E59" s="170"/>
      <c r="F59" s="170"/>
      <c r="G59" s="170"/>
      <c r="H59" s="170"/>
      <c r="I59" s="170"/>
      <c r="J59" s="170"/>
      <c r="K59" s="170"/>
      <c r="L59" s="170"/>
      <c r="M59" s="170"/>
      <c r="N59" s="170"/>
    </row>
    <row r="60" spans="2:14" s="9" customFormat="1" ht="33.75" customHeight="1" x14ac:dyDescent="0.25">
      <c r="B60" s="938" t="s">
        <v>589</v>
      </c>
      <c r="C60" s="938"/>
      <c r="D60" s="938"/>
      <c r="E60" s="938"/>
      <c r="F60" s="938"/>
      <c r="G60" s="938"/>
      <c r="H60" s="938"/>
      <c r="I60" s="938"/>
      <c r="J60" s="938"/>
      <c r="K60" s="938"/>
      <c r="L60" s="938"/>
      <c r="M60" s="938"/>
      <c r="N60" s="938"/>
    </row>
    <row r="61" spans="2:14" s="9" customFormat="1" ht="27" customHeight="1" x14ac:dyDescent="0.25">
      <c r="B61" s="938" t="s">
        <v>590</v>
      </c>
      <c r="C61" s="938"/>
      <c r="D61" s="938"/>
      <c r="E61" s="938"/>
      <c r="F61" s="938"/>
      <c r="G61" s="938"/>
      <c r="H61" s="938"/>
      <c r="I61" s="938"/>
      <c r="J61" s="938"/>
      <c r="K61" s="938"/>
      <c r="L61" s="938"/>
      <c r="M61" s="938"/>
      <c r="N61" s="938"/>
    </row>
    <row r="62" spans="2:14" s="9" customFormat="1" ht="21.75" customHeight="1" x14ac:dyDescent="0.25">
      <c r="B62" s="938" t="s">
        <v>591</v>
      </c>
      <c r="C62" s="938"/>
      <c r="D62" s="938"/>
      <c r="E62" s="938"/>
      <c r="F62" s="938"/>
      <c r="G62" s="938"/>
      <c r="H62" s="938"/>
      <c r="I62" s="938"/>
      <c r="J62" s="938"/>
      <c r="K62" s="938"/>
      <c r="L62" s="938"/>
      <c r="M62" s="938"/>
      <c r="N62" s="938"/>
    </row>
    <row r="64" spans="2:14" ht="18" x14ac:dyDescent="0.25">
      <c r="C64" s="63"/>
      <c r="D64" s="63"/>
      <c r="E64" s="63"/>
      <c r="F64" s="63"/>
      <c r="G64" s="63"/>
      <c r="H64" s="63"/>
      <c r="I64" s="63"/>
      <c r="J64" s="63"/>
      <c r="K64" s="63"/>
      <c r="L64" s="63"/>
      <c r="M64" s="63"/>
      <c r="N64" s="63"/>
    </row>
  </sheetData>
  <mergeCells count="4">
    <mergeCell ref="B5:N5"/>
    <mergeCell ref="B60:N60"/>
    <mergeCell ref="B61:N61"/>
    <mergeCell ref="B62:N62"/>
  </mergeCells>
  <phoneticPr fontId="24" type="noConversion"/>
  <hyperlinks>
    <hyperlink ref="N2" location="'Cover '!A1" display="Back to Cover" xr:uid="{C0DCBB4C-658A-4E07-B353-E5AD054E47B3}"/>
  </hyperlinks>
  <printOptions horizontalCentered="1" verticalCentered="1"/>
  <pageMargins left="0" right="0" top="0" bottom="0" header="0" footer="0"/>
  <pageSetup paperSize="8" scale="65" orientation="landscape" r:id="rId1"/>
  <headerFooter alignWithMargins="0"/>
  <ignoredErrors>
    <ignoredError sqref="I21 K46"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Y55"/>
  <sheetViews>
    <sheetView showGridLines="0" view="pageBreakPreview" zoomScale="80" zoomScaleNormal="90" zoomScaleSheetLayoutView="80" workbookViewId="0">
      <pane xSplit="2" ySplit="9" topLeftCell="C10" activePane="bottomRight" state="frozen"/>
      <selection activeCell="M28" sqref="M28"/>
      <selection pane="topRight" activeCell="M28" sqref="M28"/>
      <selection pane="bottomLeft" activeCell="M28" sqref="M28"/>
      <selection pane="bottomRight" activeCell="B5" sqref="B5:N5"/>
    </sheetView>
  </sheetViews>
  <sheetFormatPr defaultColWidth="9.109375" defaultRowHeight="15.6" x14ac:dyDescent="0.25"/>
  <cols>
    <col min="1" max="1" width="2.44140625" style="6" customWidth="1"/>
    <col min="2" max="2" width="81.44140625" style="6" customWidth="1"/>
    <col min="3" max="12" width="16.109375" style="6" customWidth="1"/>
    <col min="13" max="13" width="4" style="33" customWidth="1"/>
    <col min="14" max="14" width="11" style="6" customWidth="1"/>
    <col min="15" max="15" width="2.44140625" style="6" customWidth="1"/>
    <col min="16" max="16" width="11.33203125" style="6" bestFit="1" customWidth="1"/>
    <col min="17" max="17" width="17.88671875" style="6" bestFit="1" customWidth="1"/>
    <col min="18" max="18" width="11.5546875" style="6" bestFit="1" customWidth="1"/>
    <col min="19" max="19" width="13.109375" style="6" customWidth="1"/>
    <col min="20" max="16384" width="9.109375" style="6"/>
  </cols>
  <sheetData>
    <row r="1" spans="1:21" ht="15.75" customHeight="1" x14ac:dyDescent="0.25">
      <c r="L1" s="117"/>
      <c r="M1" s="299"/>
      <c r="N1" s="117"/>
    </row>
    <row r="2" spans="1:21" ht="15.75" customHeight="1" x14ac:dyDescent="0.25">
      <c r="L2" s="271"/>
      <c r="M2" s="265"/>
      <c r="N2" s="119" t="s">
        <v>20</v>
      </c>
    </row>
    <row r="3" spans="1:21" ht="15.75" customHeight="1" x14ac:dyDescent="0.25">
      <c r="B3" s="12"/>
    </row>
    <row r="4" spans="1:21" ht="15.75" customHeight="1" x14ac:dyDescent="0.25"/>
    <row r="5" spans="1:21" s="17" customFormat="1" ht="27.6" x14ac:dyDescent="0.25">
      <c r="A5" s="16"/>
      <c r="B5" s="937" t="s">
        <v>5</v>
      </c>
      <c r="C5" s="937"/>
      <c r="D5" s="937"/>
      <c r="E5" s="937"/>
      <c r="F5" s="937"/>
      <c r="G5" s="937"/>
      <c r="H5" s="937"/>
      <c r="I5" s="937"/>
      <c r="J5" s="937"/>
      <c r="K5" s="937"/>
      <c r="L5" s="937"/>
      <c r="M5" s="937"/>
      <c r="N5" s="937"/>
      <c r="Q5" s="74"/>
      <c r="R5" s="74"/>
      <c r="S5" s="74"/>
      <c r="U5" s="75"/>
    </row>
    <row r="6" spans="1:21" s="17" customFormat="1" ht="9" customHeight="1" x14ac:dyDescent="0.25">
      <c r="A6" s="16"/>
      <c r="B6" s="18"/>
      <c r="C6" s="18"/>
      <c r="D6" s="18"/>
      <c r="E6" s="18"/>
      <c r="F6" s="18"/>
      <c r="G6" s="18"/>
      <c r="H6" s="18"/>
      <c r="I6" s="18"/>
      <c r="J6" s="18"/>
      <c r="K6" s="18"/>
      <c r="L6" s="18"/>
      <c r="M6" s="18"/>
    </row>
    <row r="7" spans="1:21" s="17" customFormat="1" ht="15.75" customHeight="1" x14ac:dyDescent="0.25">
      <c r="A7" s="18"/>
      <c r="B7" s="6"/>
      <c r="C7" s="32"/>
      <c r="D7" s="32"/>
      <c r="E7" s="32"/>
      <c r="F7" s="32"/>
      <c r="G7" s="32"/>
      <c r="H7" s="32"/>
      <c r="I7" s="32"/>
      <c r="J7" s="32"/>
      <c r="K7" s="32"/>
      <c r="L7" s="32"/>
      <c r="M7" s="34"/>
      <c r="N7" s="14"/>
      <c r="Q7" s="74"/>
      <c r="R7" s="74"/>
      <c r="S7" s="74"/>
      <c r="U7" s="76"/>
    </row>
    <row r="8" spans="1:21" ht="18.600000000000001" customHeight="1" x14ac:dyDescent="0.25"/>
    <row r="9" spans="1:21" ht="39.6" customHeight="1" x14ac:dyDescent="0.25">
      <c r="B9" s="273" t="s">
        <v>0</v>
      </c>
      <c r="C9" s="184">
        <v>45016</v>
      </c>
      <c r="D9" s="184">
        <v>45107</v>
      </c>
      <c r="E9" s="184">
        <v>45199</v>
      </c>
      <c r="F9" s="184">
        <v>45291</v>
      </c>
      <c r="G9" s="184">
        <v>45382</v>
      </c>
      <c r="H9" s="184">
        <v>45473</v>
      </c>
      <c r="I9" s="184">
        <v>45565</v>
      </c>
      <c r="J9" s="184">
        <v>45657</v>
      </c>
      <c r="K9" s="188">
        <v>45747</v>
      </c>
      <c r="L9" s="187">
        <v>45838</v>
      </c>
      <c r="M9" s="265"/>
      <c r="N9" s="294" t="s">
        <v>35</v>
      </c>
    </row>
    <row r="10" spans="1:21" ht="19.5" customHeight="1" x14ac:dyDescent="0.4">
      <c r="B10" s="274" t="s">
        <v>6</v>
      </c>
      <c r="C10" s="266"/>
      <c r="D10" s="266"/>
      <c r="E10" s="275"/>
      <c r="F10" s="266"/>
      <c r="G10" s="266"/>
      <c r="H10" s="275"/>
      <c r="I10" s="275"/>
      <c r="J10" s="275"/>
      <c r="K10" s="893"/>
      <c r="L10" s="276"/>
      <c r="M10" s="265"/>
      <c r="N10" s="295"/>
    </row>
    <row r="11" spans="1:21" s="9" customFormat="1" ht="19.5" customHeight="1" x14ac:dyDescent="0.4">
      <c r="B11" s="277" t="s">
        <v>26</v>
      </c>
      <c r="C11" s="266">
        <v>9575.5249999999996</v>
      </c>
      <c r="D11" s="266">
        <v>10606.468999999999</v>
      </c>
      <c r="E11" s="266">
        <v>12687.053</v>
      </c>
      <c r="F11" s="266">
        <v>10567.495999999999</v>
      </c>
      <c r="G11" s="266">
        <v>11108.459000000001</v>
      </c>
      <c r="H11" s="275">
        <v>8754.6980000000003</v>
      </c>
      <c r="I11" s="275">
        <v>9797.7493262399985</v>
      </c>
      <c r="J11" s="275">
        <v>7422.5169999999998</v>
      </c>
      <c r="K11" s="893">
        <v>5128.9639999999999</v>
      </c>
      <c r="L11" s="276">
        <v>6190.4110000000001</v>
      </c>
      <c r="M11" s="267"/>
      <c r="N11" s="296">
        <f>L11/K11-1</f>
        <v>0.20695154031106489</v>
      </c>
      <c r="O11" s="46"/>
      <c r="P11" s="680"/>
      <c r="Q11" s="759"/>
    </row>
    <row r="12" spans="1:21" s="9" customFormat="1" ht="19.5" customHeight="1" x14ac:dyDescent="0.4">
      <c r="B12" s="277" t="s">
        <v>27</v>
      </c>
      <c r="C12" s="266">
        <v>952.57899999999995</v>
      </c>
      <c r="D12" s="266">
        <v>725.86500000000001</v>
      </c>
      <c r="E12" s="266">
        <v>737.42499999999995</v>
      </c>
      <c r="F12" s="266">
        <v>1034.0170000000001</v>
      </c>
      <c r="G12" s="266">
        <v>1614.3720000000001</v>
      </c>
      <c r="H12" s="275">
        <v>1453.297</v>
      </c>
      <c r="I12" s="275">
        <v>1635.99229694</v>
      </c>
      <c r="J12" s="275">
        <v>2351.94</v>
      </c>
      <c r="K12" s="893">
        <v>2166.4760000000001</v>
      </c>
      <c r="L12" s="276">
        <v>2545.6590000000001</v>
      </c>
      <c r="M12" s="267"/>
      <c r="N12" s="296">
        <f t="shared" ref="N12:N23" si="0">L12/K12-1</f>
        <v>0.17502294048030076</v>
      </c>
      <c r="O12" s="38"/>
      <c r="P12" s="680"/>
      <c r="Q12" s="759"/>
      <c r="S12" s="60"/>
      <c r="T12" s="39"/>
    </row>
    <row r="13" spans="1:21" s="9" customFormat="1" ht="19.5" customHeight="1" x14ac:dyDescent="0.4">
      <c r="B13" s="278" t="s">
        <v>625</v>
      </c>
      <c r="C13" s="266">
        <v>36823.953307999996</v>
      </c>
      <c r="D13" s="266">
        <v>36987.841641749998</v>
      </c>
      <c r="E13" s="266">
        <v>37298.183124290001</v>
      </c>
      <c r="F13" s="266">
        <v>38398.370636269996</v>
      </c>
      <c r="G13" s="266">
        <v>37198.036212430001</v>
      </c>
      <c r="H13" s="275">
        <v>38398.538545699994</v>
      </c>
      <c r="I13" s="275">
        <v>39036.243863720003</v>
      </c>
      <c r="J13" s="275">
        <v>41425.406161789993</v>
      </c>
      <c r="K13" s="893">
        <v>42105.89161993</v>
      </c>
      <c r="L13" s="276">
        <v>42541.690181899998</v>
      </c>
      <c r="M13" s="267"/>
      <c r="N13" s="296">
        <f t="shared" si="0"/>
        <v>1.0350061362047525E-2</v>
      </c>
      <c r="O13" s="292"/>
      <c r="P13" s="680"/>
      <c r="Q13" s="759"/>
      <c r="S13" s="38"/>
    </row>
    <row r="14" spans="1:21" s="9" customFormat="1" ht="19.5" customHeight="1" x14ac:dyDescent="0.4">
      <c r="B14" s="278" t="s">
        <v>228</v>
      </c>
      <c r="C14" s="266">
        <v>1359.736308</v>
      </c>
      <c r="D14" s="266">
        <v>1163.9896417500001</v>
      </c>
      <c r="E14" s="266">
        <v>1171.8971242900002</v>
      </c>
      <c r="F14" s="266">
        <v>819.05163627000002</v>
      </c>
      <c r="G14" s="266">
        <v>783.94621242999995</v>
      </c>
      <c r="H14" s="275">
        <v>743.11254570000006</v>
      </c>
      <c r="I14" s="275">
        <v>774.34113476000005</v>
      </c>
      <c r="J14" s="275">
        <v>691.09616179</v>
      </c>
      <c r="K14" s="893">
        <v>704.67861992999997</v>
      </c>
      <c r="L14" s="276">
        <v>736.80218189999994</v>
      </c>
      <c r="M14" s="267"/>
      <c r="N14" s="296">
        <f t="shared" si="0"/>
        <v>4.5586116935392385E-2</v>
      </c>
      <c r="O14" s="38"/>
      <c r="P14" s="680"/>
      <c r="Q14" s="759"/>
    </row>
    <row r="15" spans="1:21" s="9" customFormat="1" ht="19.5" customHeight="1" x14ac:dyDescent="0.4">
      <c r="B15" s="278" t="s">
        <v>229</v>
      </c>
      <c r="C15" s="266">
        <v>35464.217000000004</v>
      </c>
      <c r="D15" s="266">
        <v>35823.851999999999</v>
      </c>
      <c r="E15" s="266">
        <v>36126.286000000007</v>
      </c>
      <c r="F15" s="266">
        <v>37579.319000000003</v>
      </c>
      <c r="G15" s="266">
        <v>36414.090000000004</v>
      </c>
      <c r="H15" s="275">
        <v>37655.425999999999</v>
      </c>
      <c r="I15" s="275">
        <v>38261.902728960005</v>
      </c>
      <c r="J15" s="275">
        <v>40734.31</v>
      </c>
      <c r="K15" s="893">
        <v>41401.213000000003</v>
      </c>
      <c r="L15" s="276">
        <v>41804.887999999999</v>
      </c>
      <c r="M15" s="267"/>
      <c r="N15" s="296">
        <f t="shared" si="0"/>
        <v>9.7503181851217313E-3</v>
      </c>
      <c r="O15" s="46"/>
      <c r="P15" s="680"/>
      <c r="Q15" s="759"/>
      <c r="R15" s="39"/>
    </row>
    <row r="16" spans="1:21" s="9" customFormat="1" ht="19.5" customHeight="1" x14ac:dyDescent="0.4">
      <c r="B16" s="278" t="s">
        <v>189</v>
      </c>
      <c r="C16" s="266">
        <v>15124.817000000001</v>
      </c>
      <c r="D16" s="266">
        <v>16006.099</v>
      </c>
      <c r="E16" s="266">
        <v>16048.777</v>
      </c>
      <c r="F16" s="266">
        <v>14076.643</v>
      </c>
      <c r="G16" s="266">
        <v>14964.045999999998</v>
      </c>
      <c r="H16" s="275">
        <v>15579.439</v>
      </c>
      <c r="I16" s="275">
        <v>16223.018483140002</v>
      </c>
      <c r="J16" s="275">
        <v>16836.535</v>
      </c>
      <c r="K16" s="893">
        <v>17636.435000000001</v>
      </c>
      <c r="L16" s="276">
        <v>18083.401999999998</v>
      </c>
      <c r="M16" s="267"/>
      <c r="N16" s="296">
        <f t="shared" si="0"/>
        <v>2.5343387141448792E-2</v>
      </c>
      <c r="O16" s="38"/>
      <c r="P16" s="680"/>
      <c r="Q16" s="759"/>
      <c r="R16" s="39"/>
      <c r="S16" s="39"/>
    </row>
    <row r="17" spans="2:25" s="9" customFormat="1" ht="19.5" customHeight="1" x14ac:dyDescent="0.4">
      <c r="B17" s="277" t="s">
        <v>135</v>
      </c>
      <c r="C17" s="266">
        <v>1039.75</v>
      </c>
      <c r="D17" s="266">
        <v>1077.6510000000001</v>
      </c>
      <c r="E17" s="275">
        <v>1207.057</v>
      </c>
      <c r="F17" s="266">
        <v>1254.9649999999999</v>
      </c>
      <c r="G17" s="266">
        <v>1263.875</v>
      </c>
      <c r="H17" s="275">
        <v>1269.2370000000001</v>
      </c>
      <c r="I17" s="275">
        <v>1255.1310222</v>
      </c>
      <c r="J17" s="275">
        <v>1294.8520000000001</v>
      </c>
      <c r="K17" s="893">
        <v>1308.5609999999999</v>
      </c>
      <c r="L17" s="276">
        <v>1403.528</v>
      </c>
      <c r="M17" s="267"/>
      <c r="N17" s="296">
        <f t="shared" si="0"/>
        <v>7.2573613304997009E-2</v>
      </c>
      <c r="O17" s="38"/>
      <c r="P17" s="680"/>
      <c r="Q17" s="759"/>
      <c r="R17" s="71"/>
      <c r="S17" s="39"/>
      <c r="U17" s="38"/>
    </row>
    <row r="18" spans="2:25" s="9" customFormat="1" ht="19.5" customHeight="1" x14ac:dyDescent="0.4">
      <c r="B18" s="277" t="s">
        <v>136</v>
      </c>
      <c r="C18" s="266">
        <v>26.978999999999999</v>
      </c>
      <c r="D18" s="266">
        <v>26.934000000000001</v>
      </c>
      <c r="E18" s="275">
        <v>26.834</v>
      </c>
      <c r="F18" s="266">
        <v>26.149000000000001</v>
      </c>
      <c r="G18" s="266">
        <v>26.143999999999998</v>
      </c>
      <c r="H18" s="275">
        <v>26.140999999999998</v>
      </c>
      <c r="I18" s="275">
        <v>26.138280010000003</v>
      </c>
      <c r="J18" s="275">
        <v>26.135000000000002</v>
      </c>
      <c r="K18" s="893">
        <v>26.132999999999999</v>
      </c>
      <c r="L18" s="276">
        <v>26.13</v>
      </c>
      <c r="M18" s="267"/>
      <c r="N18" s="296">
        <f t="shared" si="0"/>
        <v>-1.1479738261965799E-4</v>
      </c>
      <c r="O18" s="38"/>
      <c r="P18" s="680"/>
      <c r="Q18" s="759"/>
      <c r="R18" s="39"/>
      <c r="S18" s="38"/>
      <c r="U18" s="38"/>
    </row>
    <row r="19" spans="2:25" s="9" customFormat="1" ht="19.5" customHeight="1" x14ac:dyDescent="0.4">
      <c r="B19" s="277" t="s">
        <v>137</v>
      </c>
      <c r="C19" s="266">
        <v>286.298</v>
      </c>
      <c r="D19" s="266">
        <v>303.16800000000001</v>
      </c>
      <c r="E19" s="275">
        <v>305.41800000000001</v>
      </c>
      <c r="F19" s="266">
        <v>321.005</v>
      </c>
      <c r="G19" s="266">
        <v>320.041</v>
      </c>
      <c r="H19" s="275">
        <v>339.74599999999998</v>
      </c>
      <c r="I19" s="275">
        <v>359.01883919000005</v>
      </c>
      <c r="J19" s="275">
        <v>390.37</v>
      </c>
      <c r="K19" s="893">
        <v>389.92</v>
      </c>
      <c r="L19" s="276">
        <v>407.01400000000001</v>
      </c>
      <c r="M19" s="267"/>
      <c r="N19" s="296">
        <f t="shared" si="0"/>
        <v>4.3839762002461979E-2</v>
      </c>
      <c r="O19" s="38"/>
      <c r="P19" s="680"/>
      <c r="Q19" s="759"/>
      <c r="R19" s="39"/>
      <c r="S19" s="39"/>
      <c r="T19" s="39"/>
      <c r="U19" s="100"/>
      <c r="V19" s="38"/>
    </row>
    <row r="20" spans="2:25" s="9" customFormat="1" ht="19.5" customHeight="1" x14ac:dyDescent="0.4">
      <c r="B20" s="277" t="s">
        <v>138</v>
      </c>
      <c r="C20" s="266">
        <v>2279.1350000000002</v>
      </c>
      <c r="D20" s="266">
        <v>2500.1993455800002</v>
      </c>
      <c r="E20" s="275">
        <v>2440.6916056599998</v>
      </c>
      <c r="F20" s="266">
        <v>2489.33557746</v>
      </c>
      <c r="G20" s="266">
        <v>2528.9817922500001</v>
      </c>
      <c r="H20" s="275">
        <v>2600.5399731699999</v>
      </c>
      <c r="I20" s="275">
        <v>2573.9745949800003</v>
      </c>
      <c r="J20" s="275">
        <v>2545.0944952700002</v>
      </c>
      <c r="K20" s="893">
        <v>2553.9436663500001</v>
      </c>
      <c r="L20" s="276">
        <v>2580.855</v>
      </c>
      <c r="M20" s="267"/>
      <c r="N20" s="296">
        <f t="shared" si="0"/>
        <v>1.0537168068573965E-2</v>
      </c>
      <c r="O20" s="38"/>
      <c r="P20" s="680"/>
      <c r="Q20" s="759"/>
      <c r="S20" s="51"/>
    </row>
    <row r="21" spans="2:25" s="9" customFormat="1" ht="19.5" customHeight="1" x14ac:dyDescent="0.4">
      <c r="B21" s="277" t="s">
        <v>139</v>
      </c>
      <c r="C21" s="266">
        <v>5899.0709999999999</v>
      </c>
      <c r="D21" s="266">
        <v>5893.2340000000004</v>
      </c>
      <c r="E21" s="275">
        <v>5801.2669999999998</v>
      </c>
      <c r="F21" s="266">
        <v>5703.1729999999998</v>
      </c>
      <c r="G21" s="266">
        <v>5616.06</v>
      </c>
      <c r="H21" s="275">
        <v>5505.9870000000001</v>
      </c>
      <c r="I21" s="275">
        <v>5396.4491683299993</v>
      </c>
      <c r="J21" s="275">
        <v>5363.3379999999997</v>
      </c>
      <c r="K21" s="893">
        <v>5266.2749999999996</v>
      </c>
      <c r="L21" s="276">
        <v>5174.1779999999999</v>
      </c>
      <c r="M21" s="267"/>
      <c r="N21" s="296">
        <f t="shared" si="0"/>
        <v>-1.7488072688949918E-2</v>
      </c>
      <c r="O21" s="38"/>
      <c r="P21" s="680"/>
      <c r="Q21" s="759"/>
    </row>
    <row r="22" spans="2:25" s="9" customFormat="1" ht="19.5" customHeight="1" x14ac:dyDescent="0.4">
      <c r="B22" s="277" t="s">
        <v>140</v>
      </c>
      <c r="C22" s="266">
        <v>3671.598</v>
      </c>
      <c r="D22" s="266">
        <v>3611.9010000000003</v>
      </c>
      <c r="E22" s="275">
        <v>3598.4180000000001</v>
      </c>
      <c r="F22" s="266">
        <v>3157.6060000000002</v>
      </c>
      <c r="G22" s="266">
        <v>3156.7610000000004</v>
      </c>
      <c r="H22" s="275">
        <v>3223.2190000000001</v>
      </c>
      <c r="I22" s="275">
        <v>3119.5110587400004</v>
      </c>
      <c r="J22" s="275">
        <v>2613.9740000000002</v>
      </c>
      <c r="K22" s="893">
        <v>2473.0590000000002</v>
      </c>
      <c r="L22" s="276">
        <v>2612.3150000000001</v>
      </c>
      <c r="M22" s="267"/>
      <c r="N22" s="296">
        <f t="shared" si="0"/>
        <v>5.6309210576860336E-2</v>
      </c>
      <c r="O22" s="38"/>
      <c r="P22" s="680"/>
      <c r="Q22" s="759"/>
    </row>
    <row r="23" spans="2:25" s="9" customFormat="1" ht="19.5" customHeight="1" x14ac:dyDescent="0.4">
      <c r="B23" s="277" t="s">
        <v>624</v>
      </c>
      <c r="C23" s="266">
        <v>359.916</v>
      </c>
      <c r="D23" s="266">
        <v>407.24099999999999</v>
      </c>
      <c r="E23" s="275">
        <v>279.65800000000002</v>
      </c>
      <c r="F23" s="266">
        <v>240.7</v>
      </c>
      <c r="G23" s="266">
        <v>237.60400000000001</v>
      </c>
      <c r="H23" s="275">
        <v>218.11699999999999</v>
      </c>
      <c r="I23" s="275">
        <v>141.54714231999998</v>
      </c>
      <c r="J23" s="275">
        <v>465.03699999999998</v>
      </c>
      <c r="K23" s="893">
        <v>469.26400000000001</v>
      </c>
      <c r="L23" s="276">
        <v>420.88099999999997</v>
      </c>
      <c r="M23" s="267"/>
      <c r="N23" s="296">
        <f t="shared" si="0"/>
        <v>-0.10310400968324873</v>
      </c>
      <c r="O23" s="38"/>
      <c r="P23" s="680"/>
      <c r="Q23" s="759"/>
    </row>
    <row r="24" spans="2:25" s="9" customFormat="1" ht="29.25" customHeight="1" x14ac:dyDescent="0.25">
      <c r="B24" s="279" t="s">
        <v>230</v>
      </c>
      <c r="C24" s="268">
        <v>74679.885000000009</v>
      </c>
      <c r="D24" s="268">
        <v>76982.613345579986</v>
      </c>
      <c r="E24" s="268">
        <v>79258.884605659987</v>
      </c>
      <c r="F24" s="268">
        <v>76450.408577459995</v>
      </c>
      <c r="G24" s="268">
        <v>77250.432792250023</v>
      </c>
      <c r="H24" s="268">
        <v>76625.847973170006</v>
      </c>
      <c r="I24" s="268">
        <v>78790.432941050007</v>
      </c>
      <c r="J24" s="268">
        <v>80044.10249527001</v>
      </c>
      <c r="K24" s="289">
        <v>78820.243666349998</v>
      </c>
      <c r="L24" s="280">
        <v>81249.25999999998</v>
      </c>
      <c r="M24" s="267"/>
      <c r="N24" s="297">
        <f>L24/K24-1</f>
        <v>3.0817163467955488E-2</v>
      </c>
      <c r="O24" s="293"/>
      <c r="P24" s="680"/>
      <c r="Q24" s="759"/>
      <c r="R24" s="52"/>
      <c r="S24" s="71"/>
    </row>
    <row r="25" spans="2:25" s="9" customFormat="1" ht="18.75" customHeight="1" x14ac:dyDescent="0.4">
      <c r="B25" s="281"/>
      <c r="C25" s="269"/>
      <c r="D25" s="269"/>
      <c r="E25" s="282"/>
      <c r="F25" s="269"/>
      <c r="G25" s="269"/>
      <c r="H25" s="269"/>
      <c r="I25" s="282"/>
      <c r="J25" s="282"/>
      <c r="K25" s="894"/>
      <c r="L25" s="283"/>
      <c r="M25" s="267"/>
      <c r="N25" s="296"/>
    </row>
    <row r="26" spans="2:25" ht="19.5" customHeight="1" x14ac:dyDescent="0.4">
      <c r="B26" s="274" t="s">
        <v>11</v>
      </c>
      <c r="C26" s="269"/>
      <c r="D26" s="269"/>
      <c r="E26" s="282"/>
      <c r="F26" s="269"/>
      <c r="G26" s="269"/>
      <c r="H26" s="269"/>
      <c r="I26" s="282"/>
      <c r="J26" s="282"/>
      <c r="K26" s="894"/>
      <c r="L26" s="283"/>
      <c r="M26" s="265"/>
      <c r="N26" s="296"/>
    </row>
    <row r="27" spans="2:25" s="9" customFormat="1" ht="19.5" customHeight="1" x14ac:dyDescent="0.4">
      <c r="B27" s="277" t="s">
        <v>141</v>
      </c>
      <c r="C27" s="266">
        <v>6914.1940000000004</v>
      </c>
      <c r="D27" s="266">
        <v>7657.5020000000004</v>
      </c>
      <c r="E27" s="275">
        <v>8748.9509999999991</v>
      </c>
      <c r="F27" s="266">
        <v>4618.2560000000003</v>
      </c>
      <c r="G27" s="266">
        <v>6107.8720000000003</v>
      </c>
      <c r="H27" s="275">
        <v>3506.8319999999999</v>
      </c>
      <c r="I27" s="275">
        <v>3493.7685711099998</v>
      </c>
      <c r="J27" s="275">
        <v>2377.6129999999998</v>
      </c>
      <c r="K27" s="893">
        <v>2288.181</v>
      </c>
      <c r="L27" s="276">
        <v>2459.877</v>
      </c>
      <c r="M27" s="270"/>
      <c r="N27" s="296">
        <f>L27/K27-1</f>
        <v>7.5036022062940022E-2</v>
      </c>
      <c r="O27" s="38"/>
      <c r="P27" s="680"/>
      <c r="Q27" s="759"/>
    </row>
    <row r="28" spans="2:25" s="9" customFormat="1" ht="19.5" customHeight="1" x14ac:dyDescent="0.4">
      <c r="B28" s="284" t="s">
        <v>40</v>
      </c>
      <c r="C28" s="266">
        <v>5500</v>
      </c>
      <c r="D28" s="266">
        <v>5500</v>
      </c>
      <c r="E28" s="275">
        <v>5500</v>
      </c>
      <c r="F28" s="266">
        <v>3500</v>
      </c>
      <c r="G28" s="266">
        <v>3500</v>
      </c>
      <c r="H28" s="275">
        <v>1000</v>
      </c>
      <c r="I28" s="275">
        <v>1000</v>
      </c>
      <c r="J28" s="275">
        <v>0</v>
      </c>
      <c r="K28" s="893">
        <v>0</v>
      </c>
      <c r="L28" s="276">
        <v>0</v>
      </c>
      <c r="M28" s="270"/>
      <c r="N28" s="296" t="s">
        <v>169</v>
      </c>
      <c r="O28" s="38"/>
      <c r="P28" s="680"/>
      <c r="Q28" s="759"/>
    </row>
    <row r="29" spans="2:25" s="9" customFormat="1" ht="19.5" customHeight="1" x14ac:dyDescent="0.4">
      <c r="B29" s="284" t="s">
        <v>41</v>
      </c>
      <c r="C29" s="266">
        <f t="shared" ref="C29" si="1">C27-C28</f>
        <v>1414.1940000000004</v>
      </c>
      <c r="D29" s="266">
        <f t="shared" ref="D29" si="2">D27-D28</f>
        <v>2157.5020000000004</v>
      </c>
      <c r="E29" s="275">
        <f t="shared" ref="E29" si="3">E27-E28</f>
        <v>3248.9509999999991</v>
      </c>
      <c r="F29" s="266">
        <f t="shared" ref="F29" si="4">F27-F28</f>
        <v>1118.2560000000003</v>
      </c>
      <c r="G29" s="266">
        <f t="shared" ref="G29" si="5">G27-G28</f>
        <v>2607.8720000000003</v>
      </c>
      <c r="H29" s="275">
        <f t="shared" ref="H29" si="6">H27-H28</f>
        <v>2506.8319999999999</v>
      </c>
      <c r="I29" s="275">
        <f>I27-I28</f>
        <v>2493.7685711099998</v>
      </c>
      <c r="J29" s="275">
        <f t="shared" ref="J29" si="7">J27-J28</f>
        <v>2377.6129999999998</v>
      </c>
      <c r="K29" s="893">
        <f t="shared" ref="K29:L29" si="8">K27-K28</f>
        <v>2288.181</v>
      </c>
      <c r="L29" s="276">
        <f t="shared" si="8"/>
        <v>2459.877</v>
      </c>
      <c r="M29" s="270"/>
      <c r="N29" s="296">
        <f>L29/K29-1</f>
        <v>7.5036022062940022E-2</v>
      </c>
      <c r="O29" s="38"/>
      <c r="P29" s="680"/>
      <c r="Q29" s="759"/>
    </row>
    <row r="30" spans="2:25" s="9" customFormat="1" ht="19.5" customHeight="1" x14ac:dyDescent="0.4">
      <c r="B30" s="277" t="s">
        <v>142</v>
      </c>
      <c r="C30" s="266">
        <v>9.7000000000000003E-2</v>
      </c>
      <c r="D30" s="266">
        <v>9.7000000000000003E-2</v>
      </c>
      <c r="E30" s="275">
        <v>9.7000000000000003E-2</v>
      </c>
      <c r="F30" s="266">
        <v>9.7000000000000003E-2</v>
      </c>
      <c r="G30" s="266">
        <v>9.7000000000000003E-2</v>
      </c>
      <c r="H30" s="275">
        <v>9.7000000000000003E-2</v>
      </c>
      <c r="I30" s="275">
        <v>9.7113550000000007E-2</v>
      </c>
      <c r="J30" s="275">
        <v>9.7000000000000003E-2</v>
      </c>
      <c r="K30" s="893">
        <v>0</v>
      </c>
      <c r="L30" s="276">
        <v>0</v>
      </c>
      <c r="M30" s="270"/>
      <c r="N30" s="296" t="s">
        <v>169</v>
      </c>
      <c r="O30" s="38"/>
      <c r="P30" s="680"/>
      <c r="Q30" s="759"/>
      <c r="R30" s="39"/>
      <c r="S30" s="39"/>
      <c r="T30" s="38"/>
      <c r="U30" s="100"/>
    </row>
    <row r="31" spans="2:25" s="9" customFormat="1" ht="19.5" customHeight="1" x14ac:dyDescent="0.4">
      <c r="B31" s="277" t="s">
        <v>143</v>
      </c>
      <c r="C31" s="266">
        <v>626.82399999999996</v>
      </c>
      <c r="D31" s="266">
        <v>632.13199999999995</v>
      </c>
      <c r="E31" s="275">
        <v>679.12199999999996</v>
      </c>
      <c r="F31" s="266">
        <v>295.39299999999997</v>
      </c>
      <c r="G31" s="266">
        <v>283.32299999999998</v>
      </c>
      <c r="H31" s="275">
        <v>296.51900000000001</v>
      </c>
      <c r="I31" s="275">
        <v>250.69169073</v>
      </c>
      <c r="J31" s="275">
        <v>255.2</v>
      </c>
      <c r="K31" s="893">
        <v>243.202</v>
      </c>
      <c r="L31" s="276">
        <v>242.45099999999999</v>
      </c>
      <c r="M31" s="270"/>
      <c r="N31" s="296">
        <f>L31/K31-1</f>
        <v>-3.0879680265787357E-3</v>
      </c>
      <c r="O31" s="38"/>
      <c r="P31" s="680"/>
      <c r="Q31" s="759"/>
      <c r="S31" s="39"/>
    </row>
    <row r="32" spans="2:25" s="9" customFormat="1" ht="19.5" customHeight="1" x14ac:dyDescent="0.4">
      <c r="B32" s="277" t="s">
        <v>144</v>
      </c>
      <c r="C32" s="266">
        <v>57173.915000000001</v>
      </c>
      <c r="D32" s="266">
        <v>58381.487999999998</v>
      </c>
      <c r="E32" s="275">
        <v>58663.074000000001</v>
      </c>
      <c r="F32" s="266">
        <v>59566.654999999999</v>
      </c>
      <c r="G32" s="266">
        <v>58590.697999999997</v>
      </c>
      <c r="H32" s="275">
        <v>59757.434000000001</v>
      </c>
      <c r="I32" s="275">
        <v>60540.007188800002</v>
      </c>
      <c r="J32" s="275">
        <v>62852.860999999997</v>
      </c>
      <c r="K32" s="893">
        <v>61439.182000000001</v>
      </c>
      <c r="L32" s="276">
        <v>62858.322999999997</v>
      </c>
      <c r="M32" s="267"/>
      <c r="N32" s="296">
        <f t="shared" ref="N32:N36" si="9">L32/K32-1</f>
        <v>2.309830557314374E-2</v>
      </c>
      <c r="O32" s="38"/>
      <c r="P32" s="680"/>
      <c r="Q32" s="759"/>
      <c r="R32" s="72"/>
      <c r="S32" s="39"/>
      <c r="U32" s="39"/>
      <c r="W32" s="39"/>
      <c r="X32" s="38"/>
      <c r="Y32" s="38"/>
    </row>
    <row r="33" spans="2:19" s="13" customFormat="1" ht="19.5" customHeight="1" x14ac:dyDescent="0.4">
      <c r="B33" s="277" t="s">
        <v>145</v>
      </c>
      <c r="C33" s="266">
        <v>1783.144</v>
      </c>
      <c r="D33" s="266">
        <v>1773.7460000000001</v>
      </c>
      <c r="E33" s="275">
        <v>2308.1460000000002</v>
      </c>
      <c r="F33" s="266">
        <v>2825.1149999999998</v>
      </c>
      <c r="G33" s="266">
        <v>3002.3990000000003</v>
      </c>
      <c r="H33" s="275">
        <v>3428.4289999999996</v>
      </c>
      <c r="I33" s="275">
        <v>4358.7717403500001</v>
      </c>
      <c r="J33" s="275">
        <v>4518.1900000000005</v>
      </c>
      <c r="K33" s="893">
        <v>4424.9749999999995</v>
      </c>
      <c r="L33" s="276">
        <v>4923.2250000000004</v>
      </c>
      <c r="M33" s="267"/>
      <c r="N33" s="296">
        <f t="shared" si="9"/>
        <v>0.11259950621189962</v>
      </c>
      <c r="O33" s="38"/>
      <c r="P33" s="680"/>
      <c r="Q33" s="759"/>
    </row>
    <row r="34" spans="2:19" s="9" customFormat="1" ht="19.5" customHeight="1" x14ac:dyDescent="0.4">
      <c r="B34" s="277" t="s">
        <v>146</v>
      </c>
      <c r="C34" s="266">
        <v>9.9640000000000004</v>
      </c>
      <c r="D34" s="266">
        <v>9.1920000000000002</v>
      </c>
      <c r="E34" s="275">
        <v>8.8620000000000001</v>
      </c>
      <c r="F34" s="266">
        <v>9.3369999999999997</v>
      </c>
      <c r="G34" s="266">
        <v>9.702</v>
      </c>
      <c r="H34" s="275">
        <v>9.5609999999999999</v>
      </c>
      <c r="I34" s="275">
        <v>9.9992052399999984</v>
      </c>
      <c r="J34" s="275">
        <v>9.077</v>
      </c>
      <c r="K34" s="893">
        <v>9.0050000000000008</v>
      </c>
      <c r="L34" s="276">
        <v>9.3670000000000009</v>
      </c>
      <c r="M34" s="267"/>
      <c r="N34" s="296">
        <f t="shared" si="9"/>
        <v>4.0199888950583018E-2</v>
      </c>
      <c r="O34" s="38"/>
      <c r="P34" s="680"/>
      <c r="Q34" s="759"/>
      <c r="R34" s="73"/>
    </row>
    <row r="35" spans="2:19" s="9" customFormat="1" ht="19.5" customHeight="1" x14ac:dyDescent="0.4">
      <c r="B35" s="277" t="s">
        <v>147</v>
      </c>
      <c r="C35" s="266">
        <v>52.134</v>
      </c>
      <c r="D35" s="266">
        <v>49.935000000000002</v>
      </c>
      <c r="E35" s="275">
        <v>48.396999999999998</v>
      </c>
      <c r="F35" s="266">
        <v>52.414999999999999</v>
      </c>
      <c r="G35" s="266">
        <v>50.595999999999997</v>
      </c>
      <c r="H35" s="275">
        <v>49.274999999999999</v>
      </c>
      <c r="I35" s="275">
        <v>49.374451899999997</v>
      </c>
      <c r="J35" s="275">
        <v>62.463000000000001</v>
      </c>
      <c r="K35" s="893">
        <v>58.704000000000001</v>
      </c>
      <c r="L35" s="276">
        <v>55.942999999999998</v>
      </c>
      <c r="M35" s="267"/>
      <c r="N35" s="296">
        <f t="shared" si="9"/>
        <v>-4.7032570182611089E-2</v>
      </c>
      <c r="O35" s="38"/>
      <c r="P35" s="680"/>
      <c r="Q35" s="759"/>
    </row>
    <row r="36" spans="2:19" s="9" customFormat="1" ht="19.5" customHeight="1" x14ac:dyDescent="0.4">
      <c r="B36" s="277" t="s">
        <v>148</v>
      </c>
      <c r="C36" s="266">
        <v>1354.3989999999999</v>
      </c>
      <c r="D36" s="266">
        <v>1585.8819999999998</v>
      </c>
      <c r="E36" s="275">
        <v>1656.9110000000001</v>
      </c>
      <c r="F36" s="266">
        <v>1729.683</v>
      </c>
      <c r="G36" s="266">
        <v>1615.1950000000002</v>
      </c>
      <c r="H36" s="275">
        <v>1773.2529999999999</v>
      </c>
      <c r="I36" s="275">
        <v>1937.4632054999997</v>
      </c>
      <c r="J36" s="275">
        <v>1695.8110000000001</v>
      </c>
      <c r="K36" s="893">
        <v>1769.4319999999998</v>
      </c>
      <c r="L36" s="276">
        <v>1835.384</v>
      </c>
      <c r="M36" s="267"/>
      <c r="N36" s="296">
        <f t="shared" si="9"/>
        <v>3.7272977995198575E-2</v>
      </c>
      <c r="O36" s="38"/>
      <c r="P36" s="680"/>
      <c r="Q36" s="759"/>
      <c r="R36" s="40"/>
    </row>
    <row r="37" spans="2:19" s="9" customFormat="1" ht="19.5" customHeight="1" x14ac:dyDescent="0.4">
      <c r="B37" s="277" t="s">
        <v>581</v>
      </c>
      <c r="C37" s="266">
        <v>0</v>
      </c>
      <c r="D37" s="266">
        <v>0</v>
      </c>
      <c r="E37" s="275">
        <v>0</v>
      </c>
      <c r="F37" s="266">
        <v>0</v>
      </c>
      <c r="G37" s="266">
        <v>0</v>
      </c>
      <c r="H37" s="275">
        <v>0</v>
      </c>
      <c r="I37" s="275">
        <v>0</v>
      </c>
      <c r="J37" s="275">
        <v>0</v>
      </c>
      <c r="K37" s="893">
        <v>0</v>
      </c>
      <c r="L37" s="276">
        <v>0</v>
      </c>
      <c r="M37" s="267"/>
      <c r="N37" s="296" t="s">
        <v>169</v>
      </c>
      <c r="O37" s="38"/>
      <c r="P37" s="680"/>
      <c r="Q37" s="759"/>
    </row>
    <row r="38" spans="2:19" s="9" customFormat="1" ht="29.25" customHeight="1" x14ac:dyDescent="0.25">
      <c r="B38" s="279" t="s">
        <v>231</v>
      </c>
      <c r="C38" s="268">
        <v>67914.671000000017</v>
      </c>
      <c r="D38" s="268">
        <v>70089.973999999973</v>
      </c>
      <c r="E38" s="268">
        <v>72113.559999999983</v>
      </c>
      <c r="F38" s="268">
        <v>69096.950999999986</v>
      </c>
      <c r="G38" s="268">
        <v>69659.882000000012</v>
      </c>
      <c r="H38" s="268">
        <v>68821.399999999994</v>
      </c>
      <c r="I38" s="268">
        <v>70640.173167180008</v>
      </c>
      <c r="J38" s="268">
        <v>71771.311999999991</v>
      </c>
      <c r="K38" s="289">
        <v>70232.680999999997</v>
      </c>
      <c r="L38" s="280">
        <v>72384.570000000007</v>
      </c>
      <c r="M38" s="267"/>
      <c r="N38" s="297">
        <f>L38/K38-1</f>
        <v>3.0639425540369247E-2</v>
      </c>
      <c r="O38" s="38"/>
      <c r="P38" s="680"/>
      <c r="Q38" s="759"/>
      <c r="S38" s="52"/>
    </row>
    <row r="39" spans="2:19" s="9" customFormat="1" ht="19.5" customHeight="1" x14ac:dyDescent="0.4">
      <c r="B39" s="277" t="s">
        <v>149</v>
      </c>
      <c r="C39" s="266">
        <v>6138.3770000000013</v>
      </c>
      <c r="D39" s="266">
        <v>6250.2910000000002</v>
      </c>
      <c r="E39" s="275">
        <v>6503.2379999999994</v>
      </c>
      <c r="F39" s="266">
        <v>6697.9219999999996</v>
      </c>
      <c r="G39" s="266">
        <v>6935.3059999999996</v>
      </c>
      <c r="H39" s="275">
        <v>7148.027</v>
      </c>
      <c r="I39" s="275">
        <v>7477.2011014899999</v>
      </c>
      <c r="J39" s="275">
        <v>7616.7569999999996</v>
      </c>
      <c r="K39" s="893">
        <v>7917.0099999999993</v>
      </c>
      <c r="L39" s="276">
        <v>7791.1509999999989</v>
      </c>
      <c r="M39" s="267"/>
      <c r="N39" s="296">
        <f>L39/K39-1</f>
        <v>-1.5897289507023515E-2</v>
      </c>
      <c r="P39" s="680"/>
      <c r="Q39" s="759"/>
    </row>
    <row r="40" spans="2:19" s="9" customFormat="1" ht="19.5" customHeight="1" x14ac:dyDescent="0.4">
      <c r="B40" s="277" t="s">
        <v>150</v>
      </c>
      <c r="C40" s="266">
        <v>600</v>
      </c>
      <c r="D40" s="266">
        <v>600</v>
      </c>
      <c r="E40" s="275">
        <v>600</v>
      </c>
      <c r="F40" s="266">
        <v>600</v>
      </c>
      <c r="G40" s="266">
        <v>600</v>
      </c>
      <c r="H40" s="275">
        <v>600</v>
      </c>
      <c r="I40" s="275">
        <v>600</v>
      </c>
      <c r="J40" s="275">
        <v>600</v>
      </c>
      <c r="K40" s="893">
        <v>600</v>
      </c>
      <c r="L40" s="276">
        <v>1000</v>
      </c>
      <c r="M40" s="267"/>
      <c r="N40" s="296">
        <f t="shared" ref="N40:N41" si="10">L40/K40-1</f>
        <v>0.66666666666666674</v>
      </c>
      <c r="P40" s="680"/>
      <c r="Q40" s="759"/>
    </row>
    <row r="41" spans="2:19" s="9" customFormat="1" ht="19.5" customHeight="1" x14ac:dyDescent="0.4">
      <c r="B41" s="277" t="s">
        <v>232</v>
      </c>
      <c r="C41" s="266">
        <v>26.838000000000001</v>
      </c>
      <c r="D41" s="266">
        <v>42.353000000000002</v>
      </c>
      <c r="E41" s="275">
        <v>42.085999999999999</v>
      </c>
      <c r="F41" s="266">
        <v>55.539000000000001</v>
      </c>
      <c r="G41" s="266">
        <v>55.247</v>
      </c>
      <c r="H41" s="275">
        <v>56.423000000000002</v>
      </c>
      <c r="I41" s="275">
        <v>73.058672340000001</v>
      </c>
      <c r="J41" s="275">
        <v>56.034999999999997</v>
      </c>
      <c r="K41" s="893">
        <v>70.557000000000002</v>
      </c>
      <c r="L41" s="276">
        <v>73.540000000000006</v>
      </c>
      <c r="M41" s="267"/>
      <c r="N41" s="296">
        <f t="shared" si="10"/>
        <v>4.2277874626188705E-2</v>
      </c>
      <c r="P41" s="680"/>
      <c r="Q41" s="759"/>
    </row>
    <row r="42" spans="2:19" s="9" customFormat="1" ht="19.5" customHeight="1" x14ac:dyDescent="0.25">
      <c r="B42" s="279" t="s">
        <v>233</v>
      </c>
      <c r="C42" s="272">
        <v>6765.2150000000011</v>
      </c>
      <c r="D42" s="272">
        <v>6892.6440000000002</v>
      </c>
      <c r="E42" s="272">
        <v>7145.3239999999996</v>
      </c>
      <c r="F42" s="272">
        <v>7353.4609999999993</v>
      </c>
      <c r="G42" s="272">
        <v>7590.5529999999999</v>
      </c>
      <c r="H42" s="272">
        <v>7804.45</v>
      </c>
      <c r="I42" s="272">
        <v>8150.2597738300001</v>
      </c>
      <c r="J42" s="272">
        <v>8272.7919999999976</v>
      </c>
      <c r="K42" s="290">
        <v>8587.5669999999991</v>
      </c>
      <c r="L42" s="285">
        <v>8864.6910000000007</v>
      </c>
      <c r="M42" s="267"/>
      <c r="N42" s="297">
        <f>L42/K42-1</f>
        <v>3.2270374135072499E-2</v>
      </c>
      <c r="O42" s="38"/>
      <c r="P42" s="680"/>
      <c r="Q42" s="759"/>
      <c r="S42" s="38"/>
    </row>
    <row r="43" spans="2:19" s="9" customFormat="1" ht="19.5" customHeight="1" x14ac:dyDescent="0.4">
      <c r="B43" s="277" t="s">
        <v>234</v>
      </c>
      <c r="C43" s="269">
        <f t="shared" ref="C43:I43" si="11">C42-C41-C40-C19-C18</f>
        <v>5825.1000000000013</v>
      </c>
      <c r="D43" s="269">
        <f t="shared" si="11"/>
        <v>5920.1890000000003</v>
      </c>
      <c r="E43" s="282">
        <f t="shared" si="11"/>
        <v>6170.9859999999999</v>
      </c>
      <c r="F43" s="269">
        <f t="shared" si="11"/>
        <v>6350.7679999999991</v>
      </c>
      <c r="G43" s="269">
        <f t="shared" si="11"/>
        <v>6589.1209999999992</v>
      </c>
      <c r="H43" s="282">
        <f t="shared" si="11"/>
        <v>6782.14</v>
      </c>
      <c r="I43" s="282">
        <f t="shared" si="11"/>
        <v>7092.0439822899998</v>
      </c>
      <c r="J43" s="282">
        <v>7200.2519999999977</v>
      </c>
      <c r="K43" s="894">
        <v>7500.9569999999985</v>
      </c>
      <c r="L43" s="283">
        <v>7358.0069999999996</v>
      </c>
      <c r="M43" s="267"/>
      <c r="N43" s="296">
        <f>L43/K43-1</f>
        <v>-1.9057568254290613E-2</v>
      </c>
      <c r="O43" s="38"/>
      <c r="P43" s="680"/>
      <c r="Q43" s="759"/>
    </row>
    <row r="44" spans="2:19" s="9" customFormat="1" ht="29.25" customHeight="1" x14ac:dyDescent="0.25">
      <c r="B44" s="286" t="s">
        <v>235</v>
      </c>
      <c r="C44" s="287">
        <v>74679.886000000013</v>
      </c>
      <c r="D44" s="287">
        <v>76982.617999999973</v>
      </c>
      <c r="E44" s="287">
        <v>79258.883999999976</v>
      </c>
      <c r="F44" s="287">
        <v>76450.411999999982</v>
      </c>
      <c r="G44" s="287">
        <v>77250.435000000012</v>
      </c>
      <c r="H44" s="287">
        <v>76625.849999999991</v>
      </c>
      <c r="I44" s="287">
        <v>78790.432941010004</v>
      </c>
      <c r="J44" s="287">
        <v>80044.103999999992</v>
      </c>
      <c r="K44" s="291">
        <v>78820.247999999992</v>
      </c>
      <c r="L44" s="288">
        <v>81249.261000000013</v>
      </c>
      <c r="M44" s="267"/>
      <c r="N44" s="298">
        <f>L44/K44-1</f>
        <v>3.0817119479248811E-2</v>
      </c>
      <c r="O44" s="38"/>
      <c r="P44" s="789"/>
      <c r="Q44" s="759"/>
    </row>
    <row r="45" spans="2:19" ht="12.75" customHeight="1" x14ac:dyDescent="0.25">
      <c r="B45" s="271"/>
      <c r="C45" s="271"/>
      <c r="D45" s="271"/>
      <c r="E45" s="271"/>
      <c r="F45" s="271"/>
      <c r="G45" s="271"/>
      <c r="H45" s="271"/>
      <c r="I45" s="271"/>
      <c r="J45" s="271"/>
      <c r="K45" s="271"/>
      <c r="L45" s="271"/>
      <c r="M45" s="265"/>
      <c r="N45" s="271"/>
      <c r="Q45" s="9"/>
    </row>
    <row r="46" spans="2:19" ht="18" customHeight="1" x14ac:dyDescent="0.25">
      <c r="B46" s="938" t="s">
        <v>548</v>
      </c>
      <c r="C46" s="938"/>
      <c r="D46" s="938"/>
      <c r="E46" s="938"/>
      <c r="F46" s="938"/>
      <c r="G46" s="938"/>
      <c r="H46" s="938"/>
      <c r="I46" s="938"/>
      <c r="J46" s="938"/>
      <c r="K46" s="938"/>
      <c r="L46" s="938"/>
      <c r="M46" s="938"/>
      <c r="N46" s="938"/>
    </row>
    <row r="47" spans="2:19" ht="18" customHeight="1" x14ac:dyDescent="0.25">
      <c r="B47" s="938" t="s">
        <v>549</v>
      </c>
      <c r="C47" s="938"/>
      <c r="D47" s="938"/>
      <c r="E47" s="938"/>
      <c r="F47" s="938"/>
      <c r="G47" s="938"/>
      <c r="H47" s="938"/>
      <c r="I47" s="938"/>
      <c r="J47" s="938"/>
      <c r="K47" s="938"/>
      <c r="L47" s="938"/>
      <c r="M47" s="938"/>
      <c r="N47" s="938"/>
    </row>
    <row r="48" spans="2:19" x14ac:dyDescent="0.25">
      <c r="B48" s="938" t="s">
        <v>550</v>
      </c>
      <c r="C48" s="938"/>
      <c r="D48" s="938"/>
      <c r="E48" s="938"/>
      <c r="F48" s="938"/>
      <c r="G48" s="938"/>
      <c r="H48" s="938"/>
      <c r="I48" s="938"/>
      <c r="J48" s="938"/>
      <c r="K48" s="938"/>
      <c r="L48" s="938"/>
      <c r="M48" s="938"/>
      <c r="N48" s="938"/>
    </row>
    <row r="49" spans="2:14" x14ac:dyDescent="0.25">
      <c r="B49" s="938" t="s">
        <v>551</v>
      </c>
      <c r="C49" s="938"/>
      <c r="D49" s="938"/>
      <c r="E49" s="938"/>
      <c r="F49" s="938"/>
      <c r="G49" s="938"/>
      <c r="H49" s="938"/>
      <c r="I49" s="938"/>
      <c r="J49" s="938"/>
      <c r="K49" s="938"/>
      <c r="L49" s="938"/>
      <c r="M49" s="938"/>
      <c r="N49" s="938"/>
    </row>
    <row r="50" spans="2:14" x14ac:dyDescent="0.25">
      <c r="B50" s="938" t="s">
        <v>552</v>
      </c>
      <c r="C50" s="938"/>
      <c r="D50" s="938"/>
      <c r="E50" s="938"/>
      <c r="F50" s="938"/>
      <c r="G50" s="938"/>
      <c r="H50" s="938"/>
      <c r="I50" s="938"/>
      <c r="J50" s="938"/>
      <c r="K50" s="938"/>
      <c r="L50" s="938"/>
      <c r="M50" s="938"/>
      <c r="N50" s="938"/>
    </row>
    <row r="51" spans="2:14" ht="15.75" customHeight="1" x14ac:dyDescent="0.25">
      <c r="B51" s="938" t="s">
        <v>553</v>
      </c>
      <c r="C51" s="938"/>
      <c r="D51" s="938"/>
      <c r="E51" s="938"/>
      <c r="F51" s="938"/>
      <c r="G51" s="938"/>
      <c r="H51" s="938"/>
      <c r="I51" s="938"/>
      <c r="J51" s="938"/>
      <c r="K51" s="938"/>
      <c r="L51" s="938"/>
      <c r="M51" s="938"/>
      <c r="N51" s="938"/>
    </row>
    <row r="52" spans="2:14" x14ac:dyDescent="0.25">
      <c r="B52" s="938" t="s">
        <v>554</v>
      </c>
      <c r="C52" s="938"/>
      <c r="D52" s="938"/>
      <c r="E52" s="938"/>
      <c r="F52" s="938"/>
      <c r="G52" s="938"/>
      <c r="H52" s="938"/>
      <c r="I52" s="938"/>
      <c r="J52" s="938"/>
      <c r="K52" s="938"/>
      <c r="L52" s="938"/>
      <c r="M52" s="938"/>
      <c r="N52" s="938"/>
    </row>
    <row r="53" spans="2:14" x14ac:dyDescent="0.25">
      <c r="B53" s="938" t="s">
        <v>555</v>
      </c>
      <c r="C53" s="938"/>
      <c r="D53" s="938"/>
      <c r="E53" s="938"/>
      <c r="F53" s="938"/>
      <c r="G53" s="938"/>
      <c r="H53" s="938"/>
      <c r="I53" s="938"/>
      <c r="J53" s="938"/>
      <c r="K53" s="938"/>
      <c r="L53" s="938"/>
      <c r="M53" s="938"/>
      <c r="N53" s="938"/>
    </row>
    <row r="54" spans="2:14" x14ac:dyDescent="0.25">
      <c r="B54" s="938" t="s">
        <v>582</v>
      </c>
      <c r="C54" s="938"/>
      <c r="D54" s="938"/>
      <c r="E54" s="938"/>
      <c r="F54" s="938"/>
      <c r="G54" s="938"/>
      <c r="H54" s="938"/>
      <c r="I54" s="938"/>
      <c r="J54" s="938"/>
      <c r="K54" s="938"/>
      <c r="L54" s="938"/>
      <c r="M54" s="938"/>
      <c r="N54" s="938"/>
    </row>
    <row r="55" spans="2:14" x14ac:dyDescent="0.25">
      <c r="B55" s="938" t="s">
        <v>623</v>
      </c>
      <c r="C55" s="938"/>
      <c r="D55" s="938"/>
      <c r="E55" s="938"/>
      <c r="F55" s="938"/>
      <c r="G55" s="938"/>
      <c r="H55" s="938"/>
      <c r="I55" s="938"/>
      <c r="J55" s="938"/>
      <c r="K55" s="938"/>
      <c r="L55" s="938"/>
      <c r="M55" s="938"/>
      <c r="N55" s="938"/>
    </row>
  </sheetData>
  <mergeCells count="11">
    <mergeCell ref="B55:N55"/>
    <mergeCell ref="B54:N54"/>
    <mergeCell ref="B53:N53"/>
    <mergeCell ref="B52:N52"/>
    <mergeCell ref="B5:N5"/>
    <mergeCell ref="B49:N49"/>
    <mergeCell ref="B51:N51"/>
    <mergeCell ref="B48:N48"/>
    <mergeCell ref="B47:N47"/>
    <mergeCell ref="B46:N46"/>
    <mergeCell ref="B50:N50"/>
  </mergeCells>
  <hyperlinks>
    <hyperlink ref="N2" location="'Cover '!A1" display="Back to Cover" xr:uid="{00000000-0004-0000-0100-000000000000}"/>
  </hyperlinks>
  <printOptions horizontalCentered="1" verticalCentered="1"/>
  <pageMargins left="0" right="0" top="0" bottom="0" header="0" footer="0"/>
  <pageSetup paperSize="8" scale="82"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P82"/>
  <sheetViews>
    <sheetView showGridLines="0" view="pageBreakPreview" zoomScale="80" zoomScaleNormal="90" zoomScaleSheetLayoutView="80" workbookViewId="0">
      <pane xSplit="2" ySplit="8" topLeftCell="C9" activePane="bottomRight" state="frozen"/>
      <selection activeCell="M28" sqref="M28"/>
      <selection pane="topRight" activeCell="M28" sqref="M28"/>
      <selection pane="bottomLeft" activeCell="M28" sqref="M28"/>
      <selection pane="bottomRight" activeCell="B5" sqref="B5:L5"/>
    </sheetView>
  </sheetViews>
  <sheetFormatPr defaultColWidth="9.109375" defaultRowHeight="13.8" x14ac:dyDescent="0.25"/>
  <cols>
    <col min="1" max="1" width="2.44140625" style="10" customWidth="1"/>
    <col min="2" max="2" width="82.88671875" style="10" customWidth="1"/>
    <col min="3" max="12" width="15" style="10" customWidth="1"/>
    <col min="13" max="13" width="2.44140625" style="10" customWidth="1"/>
    <col min="14" max="14" width="11.33203125" style="10" bestFit="1" customWidth="1"/>
    <col min="15" max="15" width="15" style="10" customWidth="1"/>
    <col min="16" max="16" width="9.88671875" style="10" bestFit="1" customWidth="1"/>
    <col min="17" max="16384" width="9.109375" style="10"/>
  </cols>
  <sheetData>
    <row r="1" spans="1:15" s="6" customFormat="1" ht="15.75" customHeight="1" x14ac:dyDescent="0.25">
      <c r="B1" s="10"/>
      <c r="C1" s="10"/>
      <c r="D1" s="10"/>
      <c r="E1" s="10"/>
      <c r="F1" s="10"/>
      <c r="G1" s="118"/>
      <c r="H1" s="118"/>
      <c r="I1" s="118"/>
      <c r="J1" s="118"/>
      <c r="K1" s="118"/>
      <c r="L1" s="118"/>
    </row>
    <row r="2" spans="1:15" s="6" customFormat="1" ht="15.75" customHeight="1" x14ac:dyDescent="0.25">
      <c r="B2" s="10"/>
      <c r="G2" s="117"/>
      <c r="H2" s="117"/>
      <c r="I2" s="117"/>
      <c r="J2" s="117"/>
      <c r="K2" s="117"/>
      <c r="L2" s="119" t="s">
        <v>20</v>
      </c>
    </row>
    <row r="3" spans="1:15" s="6" customFormat="1" ht="15.75" customHeight="1" x14ac:dyDescent="0.25">
      <c r="B3" s="10"/>
      <c r="C3" s="8"/>
      <c r="D3" s="8"/>
      <c r="E3" s="8"/>
      <c r="F3" s="8"/>
      <c r="G3" s="8"/>
      <c r="H3" s="8"/>
      <c r="I3" s="8"/>
      <c r="J3" s="8"/>
      <c r="K3" s="8"/>
    </row>
    <row r="4" spans="1:15" ht="15.75" customHeight="1" x14ac:dyDescent="0.25"/>
    <row r="5" spans="1:15" s="17" customFormat="1" ht="27.6" x14ac:dyDescent="0.25">
      <c r="A5" s="16"/>
      <c r="B5" s="937" t="s">
        <v>25</v>
      </c>
      <c r="C5" s="937"/>
      <c r="D5" s="937"/>
      <c r="E5" s="937"/>
      <c r="F5" s="937"/>
      <c r="G5" s="937"/>
      <c r="H5" s="937"/>
      <c r="I5" s="937"/>
      <c r="J5" s="937"/>
      <c r="K5" s="937"/>
      <c r="L5" s="937"/>
    </row>
    <row r="6" spans="1:15" s="17" customFormat="1" ht="9" customHeight="1" x14ac:dyDescent="0.25">
      <c r="A6" s="16"/>
      <c r="B6" s="18"/>
      <c r="C6" s="18"/>
      <c r="D6" s="18"/>
      <c r="E6" s="18"/>
      <c r="F6" s="18"/>
      <c r="G6" s="18"/>
      <c r="H6" s="18"/>
      <c r="I6" s="18"/>
      <c r="J6" s="18"/>
      <c r="K6" s="18"/>
      <c r="L6" s="18"/>
    </row>
    <row r="7" spans="1:15" s="6" customFormat="1" ht="9" customHeight="1" x14ac:dyDescent="0.25">
      <c r="B7" s="10"/>
      <c r="C7" s="32"/>
      <c r="D7" s="32"/>
      <c r="E7" s="32"/>
      <c r="F7" s="32"/>
      <c r="G7" s="32"/>
      <c r="H7" s="32"/>
      <c r="I7" s="32"/>
      <c r="J7" s="32"/>
      <c r="K7" s="32"/>
      <c r="L7" s="32"/>
    </row>
    <row r="8" spans="1:15" s="6" customFormat="1" ht="16.5" customHeight="1" x14ac:dyDescent="0.25">
      <c r="B8" s="145" t="s">
        <v>0</v>
      </c>
      <c r="C8" s="300"/>
      <c r="D8" s="300"/>
      <c r="E8" s="300"/>
      <c r="F8" s="300"/>
      <c r="G8" s="300"/>
      <c r="H8" s="300"/>
      <c r="I8" s="300"/>
      <c r="J8" s="300"/>
      <c r="K8" s="300"/>
      <c r="L8" s="300"/>
    </row>
    <row r="9" spans="1:15" s="6" customFormat="1" ht="28.5" customHeight="1" x14ac:dyDescent="0.25">
      <c r="B9" s="310" t="s">
        <v>13</v>
      </c>
      <c r="C9" s="311">
        <v>45016</v>
      </c>
      <c r="D9" s="311">
        <v>45107</v>
      </c>
      <c r="E9" s="311">
        <v>45199</v>
      </c>
      <c r="F9" s="311">
        <v>45291</v>
      </c>
      <c r="G9" s="311">
        <v>45382</v>
      </c>
      <c r="H9" s="311">
        <v>45473</v>
      </c>
      <c r="I9" s="311">
        <v>45565</v>
      </c>
      <c r="J9" s="311">
        <v>45657</v>
      </c>
      <c r="K9" s="327">
        <v>45747</v>
      </c>
      <c r="L9" s="312">
        <v>45838</v>
      </c>
    </row>
    <row r="10" spans="1:15" s="9" customFormat="1" ht="20.25" customHeight="1" x14ac:dyDescent="0.25">
      <c r="B10" s="318" t="s">
        <v>236</v>
      </c>
      <c r="C10" s="302">
        <v>22157.69897689639</v>
      </c>
      <c r="D10" s="302">
        <v>22765.781737746929</v>
      </c>
      <c r="E10" s="301">
        <v>23140.533945541276</v>
      </c>
      <c r="F10" s="302">
        <v>23348.328471212411</v>
      </c>
      <c r="G10" s="302">
        <v>23201.651681614287</v>
      </c>
      <c r="H10" s="301">
        <v>24411.450497349593</v>
      </c>
      <c r="I10" s="301">
        <v>25073.099875854758</v>
      </c>
      <c r="J10" s="301">
        <v>26685.010276251669</v>
      </c>
      <c r="K10" s="895">
        <v>27847.635854964043</v>
      </c>
      <c r="L10" s="313">
        <v>28853.376471143194</v>
      </c>
      <c r="O10" s="39"/>
    </row>
    <row r="11" spans="1:15" s="9" customFormat="1" ht="20.25" customHeight="1" x14ac:dyDescent="0.25">
      <c r="B11" s="318" t="s">
        <v>609</v>
      </c>
      <c r="C11" s="153"/>
      <c r="D11" s="153"/>
      <c r="E11" s="152"/>
      <c r="F11" s="153">
        <v>950.67031599999996</v>
      </c>
      <c r="G11" s="153"/>
      <c r="H11" s="152"/>
      <c r="I11" s="152"/>
      <c r="J11" s="152">
        <v>919.36909000000003</v>
      </c>
      <c r="K11" s="829">
        <v>574</v>
      </c>
      <c r="L11" s="209"/>
      <c r="N11" s="39"/>
    </row>
    <row r="12" spans="1:15" s="9" customFormat="1" ht="20.25" customHeight="1" x14ac:dyDescent="0.25">
      <c r="B12" s="318" t="s">
        <v>237</v>
      </c>
      <c r="C12" s="153">
        <v>6034.0444514236096</v>
      </c>
      <c r="D12" s="153">
        <v>5951.678018693071</v>
      </c>
      <c r="E12" s="152">
        <v>5900.8357836587293</v>
      </c>
      <c r="F12" s="153">
        <v>5984.423639567588</v>
      </c>
      <c r="G12" s="153">
        <v>5902.6959318857143</v>
      </c>
      <c r="H12" s="152">
        <v>5848.6639154404074</v>
      </c>
      <c r="I12" s="152">
        <v>5787.4663144752458</v>
      </c>
      <c r="J12" s="152">
        <v>5721.6914667183264</v>
      </c>
      <c r="K12" s="829">
        <v>5656.0063548559601</v>
      </c>
      <c r="L12" s="209">
        <v>5572.9545994468053</v>
      </c>
      <c r="O12" s="39"/>
    </row>
    <row r="13" spans="1:15" s="9" customFormat="1" ht="20.25" customHeight="1" x14ac:dyDescent="0.25">
      <c r="B13" s="317" t="s">
        <v>67</v>
      </c>
      <c r="C13" s="149">
        <v>6756.6810806799995</v>
      </c>
      <c r="D13" s="149">
        <v>6518.5449783100003</v>
      </c>
      <c r="E13" s="150">
        <v>6475.5954380899993</v>
      </c>
      <c r="F13" s="149">
        <v>6453.9157924900001</v>
      </c>
      <c r="G13" s="149">
        <v>6425.0518739300005</v>
      </c>
      <c r="H13" s="150">
        <v>6420.10007391</v>
      </c>
      <c r="I13" s="150">
        <v>6420.8979262899993</v>
      </c>
      <c r="J13" s="150">
        <v>6304.6838918200001</v>
      </c>
      <c r="K13" s="824">
        <v>6251.5761441100003</v>
      </c>
      <c r="L13" s="207">
        <v>6274.6079953099998</v>
      </c>
      <c r="O13" s="39"/>
    </row>
    <row r="14" spans="1:15" s="9" customFormat="1" ht="20.25" customHeight="1" x14ac:dyDescent="0.25">
      <c r="B14" s="317" t="s">
        <v>68</v>
      </c>
      <c r="C14" s="149">
        <v>1875.5284529999999</v>
      </c>
      <c r="D14" s="149">
        <v>1751.836632</v>
      </c>
      <c r="E14" s="150">
        <v>1781.2178739999999</v>
      </c>
      <c r="F14" s="149">
        <v>1661.032565</v>
      </c>
      <c r="G14" s="149">
        <v>1668.636293</v>
      </c>
      <c r="H14" s="150">
        <v>1718.3245320000001</v>
      </c>
      <c r="I14" s="150">
        <v>1754.779745</v>
      </c>
      <c r="J14" s="150">
        <v>1794.6513420000001</v>
      </c>
      <c r="K14" s="824">
        <v>1776.673057</v>
      </c>
      <c r="L14" s="207">
        <v>1840.7506639999999</v>
      </c>
      <c r="O14" s="39"/>
    </row>
    <row r="15" spans="1:15" s="9" customFormat="1" ht="20.25" customHeight="1" x14ac:dyDescent="0.25">
      <c r="B15" s="318" t="s">
        <v>69</v>
      </c>
      <c r="C15" s="302">
        <f t="shared" ref="C15:L15" si="0">C13+C14</f>
        <v>8632.2095336799994</v>
      </c>
      <c r="D15" s="302">
        <f t="shared" si="0"/>
        <v>8270.3816103099998</v>
      </c>
      <c r="E15" s="302">
        <f t="shared" si="0"/>
        <v>8256.8133120899984</v>
      </c>
      <c r="F15" s="302">
        <f t="shared" si="0"/>
        <v>8114.9483574900005</v>
      </c>
      <c r="G15" s="302">
        <f t="shared" si="0"/>
        <v>8093.6881669300001</v>
      </c>
      <c r="H15" s="302">
        <f t="shared" si="0"/>
        <v>8138.4246059100005</v>
      </c>
      <c r="I15" s="302">
        <f t="shared" si="0"/>
        <v>8175.6776712899991</v>
      </c>
      <c r="J15" s="302">
        <f t="shared" si="0"/>
        <v>8099.3352338200002</v>
      </c>
      <c r="K15" s="895">
        <f t="shared" si="0"/>
        <v>8028.2492011100003</v>
      </c>
      <c r="L15" s="313">
        <f t="shared" si="0"/>
        <v>8115.3586593099999</v>
      </c>
    </row>
    <row r="16" spans="1:15" s="9" customFormat="1" ht="20.25" customHeight="1" x14ac:dyDescent="0.25">
      <c r="B16" s="318" t="s">
        <v>238</v>
      </c>
      <c r="C16" s="302">
        <f>C10+C11+C12+C15</f>
        <v>36823.952961999996</v>
      </c>
      <c r="D16" s="302">
        <f t="shared" ref="D16:L16" si="1">D10+D11+D12+D15</f>
        <v>36987.841366749999</v>
      </c>
      <c r="E16" s="302">
        <f t="shared" si="1"/>
        <v>37298.183041290002</v>
      </c>
      <c r="F16" s="302">
        <f t="shared" si="1"/>
        <v>38398.370784269995</v>
      </c>
      <c r="G16" s="302">
        <f t="shared" si="1"/>
        <v>37198.03578043</v>
      </c>
      <c r="H16" s="302">
        <f t="shared" si="1"/>
        <v>38398.539018700001</v>
      </c>
      <c r="I16" s="302">
        <f t="shared" si="1"/>
        <v>39036.243861620002</v>
      </c>
      <c r="J16" s="302">
        <f t="shared" si="1"/>
        <v>41425.406066789998</v>
      </c>
      <c r="K16" s="895">
        <f t="shared" si="1"/>
        <v>42105.891410930009</v>
      </c>
      <c r="L16" s="313">
        <f t="shared" si="1"/>
        <v>42541.689729899997</v>
      </c>
      <c r="O16" s="39"/>
    </row>
    <row r="17" spans="2:15" s="9" customFormat="1" ht="20.25" customHeight="1" x14ac:dyDescent="0.25">
      <c r="B17" s="318"/>
      <c r="C17" s="302"/>
      <c r="D17" s="302"/>
      <c r="E17" s="301"/>
      <c r="F17" s="302"/>
      <c r="G17" s="302"/>
      <c r="H17" s="301"/>
      <c r="I17" s="301"/>
      <c r="J17" s="301"/>
      <c r="K17" s="895"/>
      <c r="L17" s="313"/>
    </row>
    <row r="18" spans="2:15" s="9" customFormat="1" ht="20.25" customHeight="1" x14ac:dyDescent="0.25">
      <c r="B18" s="319" t="s">
        <v>23</v>
      </c>
      <c r="C18" s="302"/>
      <c r="D18" s="302"/>
      <c r="E18" s="301"/>
      <c r="F18" s="302"/>
      <c r="G18" s="302"/>
      <c r="H18" s="301"/>
      <c r="I18" s="301"/>
      <c r="J18" s="301"/>
      <c r="K18" s="895"/>
      <c r="L18" s="313"/>
    </row>
    <row r="19" spans="2:15" s="9" customFormat="1" ht="20.25" customHeight="1" x14ac:dyDescent="0.25">
      <c r="B19" s="318" t="s">
        <v>236</v>
      </c>
      <c r="C19" s="167">
        <f t="shared" ref="C19:C25" si="2">+C10/C$16</f>
        <v>0.6017197284539697</v>
      </c>
      <c r="D19" s="167">
        <f t="shared" ref="D19:D21" si="3">+D10/D$16</f>
        <v>0.61549365674018741</v>
      </c>
      <c r="E19" s="161">
        <f t="shared" ref="E19" si="4">+E10/E$16</f>
        <v>0.62041987192577552</v>
      </c>
      <c r="F19" s="167">
        <f t="shared" ref="F19" si="5">+F10/F$16</f>
        <v>0.60805518552826521</v>
      </c>
      <c r="G19" s="167">
        <f t="shared" ref="G19" si="6">+G10/G$16</f>
        <v>0.62373324813620257</v>
      </c>
      <c r="H19" s="161">
        <f>+H10/H$16</f>
        <v>0.63573904427617078</v>
      </c>
      <c r="I19" s="161">
        <f>+I10/I$16</f>
        <v>0.6423030854284203</v>
      </c>
      <c r="J19" s="161">
        <f>+J10/J$16</f>
        <v>0.644170155706562</v>
      </c>
      <c r="K19" s="719">
        <f>+K10/K$16</f>
        <v>0.66137148322515371</v>
      </c>
      <c r="L19" s="222">
        <f>+L10/L$16</f>
        <v>0.67823766884520076</v>
      </c>
    </row>
    <row r="20" spans="2:15" s="9" customFormat="1" ht="20.25" customHeight="1" x14ac:dyDescent="0.25">
      <c r="B20" s="318" t="s">
        <v>609</v>
      </c>
      <c r="C20" s="303">
        <f t="shared" si="2"/>
        <v>0</v>
      </c>
      <c r="D20" s="303">
        <f t="shared" si="3"/>
        <v>0</v>
      </c>
      <c r="E20" s="326">
        <f t="shared" ref="E20" si="7">+E11/E$16</f>
        <v>0</v>
      </c>
      <c r="F20" s="303">
        <f t="shared" ref="F20" si="8">+F11/F$16</f>
        <v>2.4758089902851943E-2</v>
      </c>
      <c r="G20" s="303">
        <f t="shared" ref="G20" si="9">+G11/G$16</f>
        <v>0</v>
      </c>
      <c r="H20" s="326">
        <f t="shared" ref="H20" si="10">+H11/H$16</f>
        <v>0</v>
      </c>
      <c r="I20" s="326">
        <f t="shared" ref="I20" si="11">+I11/I$16</f>
        <v>0</v>
      </c>
      <c r="J20" s="326">
        <f t="shared" ref="J20:L21" si="12">+J11/J$16</f>
        <v>2.219336337989555E-2</v>
      </c>
      <c r="K20" s="896">
        <f t="shared" si="12"/>
        <v>1.3632296592371843E-2</v>
      </c>
      <c r="L20" s="818">
        <f t="shared" si="12"/>
        <v>0</v>
      </c>
    </row>
    <row r="21" spans="2:15" s="9" customFormat="1" ht="20.25" customHeight="1" x14ac:dyDescent="0.25">
      <c r="B21" s="318" t="s">
        <v>237</v>
      </c>
      <c r="C21" s="303">
        <f t="shared" si="2"/>
        <v>0.16386194218883465</v>
      </c>
      <c r="D21" s="303">
        <f t="shared" si="3"/>
        <v>0.16090903926183961</v>
      </c>
      <c r="E21" s="326">
        <f t="shared" ref="E21" si="13">+E12/E$16</f>
        <v>0.15820705735521645</v>
      </c>
      <c r="F21" s="303">
        <f t="shared" ref="F21" si="14">+F12/F$16</f>
        <v>0.15585097798001171</v>
      </c>
      <c r="G21" s="303">
        <f t="shared" ref="G21" si="15">+G12/G$16</f>
        <v>0.15868300054141946</v>
      </c>
      <c r="H21" s="326">
        <f t="shared" ref="H21" si="16">+H12/H$16</f>
        <v>0.15231475115738444</v>
      </c>
      <c r="I21" s="326">
        <f t="shared" ref="I21" si="17">+I12/I$16</f>
        <v>0.14825879085578256</v>
      </c>
      <c r="J21" s="326">
        <f t="shared" si="12"/>
        <v>0.13812034714863794</v>
      </c>
      <c r="K21" s="896">
        <f t="shared" si="12"/>
        <v>0.13432814661626549</v>
      </c>
      <c r="L21" s="818">
        <f t="shared" si="12"/>
        <v>0.13099984121058339</v>
      </c>
    </row>
    <row r="22" spans="2:15" s="9" customFormat="1" ht="20.25" customHeight="1" x14ac:dyDescent="0.25">
      <c r="B22" s="317" t="s">
        <v>67</v>
      </c>
      <c r="C22" s="304">
        <f t="shared" si="2"/>
        <v>0.18348603387725565</v>
      </c>
      <c r="D22" s="304">
        <f t="shared" ref="D22" si="18">+D13/D$16</f>
        <v>0.17623480412592576</v>
      </c>
      <c r="E22" s="320">
        <f t="shared" ref="E22" si="19">+E13/E$16</f>
        <v>0.1736169140175369</v>
      </c>
      <c r="F22" s="304">
        <f t="shared" ref="F22" si="20">+F13/F$16</f>
        <v>0.16807785488476676</v>
      </c>
      <c r="G22" s="304">
        <f t="shared" ref="G22" si="21">+G13/G$16</f>
        <v>0.17272556841052988</v>
      </c>
      <c r="H22" s="320">
        <f t="shared" ref="H22" si="22">+H13/H$16</f>
        <v>0.16719646731307736</v>
      </c>
      <c r="I22" s="320">
        <f t="shared" ref="I22" si="23">+I13/I$16</f>
        <v>0.16448554704831514</v>
      </c>
      <c r="J22" s="320">
        <f t="shared" ref="J22" si="24">+J13/J$16</f>
        <v>0.15219365337433233</v>
      </c>
      <c r="K22" s="897">
        <f t="shared" ref="K22" si="25">+K13/K$16</f>
        <v>0.14847271805976281</v>
      </c>
      <c r="L22" s="321">
        <f>+L13/L$16</f>
        <v>0.14749315401310811</v>
      </c>
    </row>
    <row r="23" spans="2:15" s="9" customFormat="1" ht="20.25" customHeight="1" x14ac:dyDescent="0.25">
      <c r="B23" s="317" t="s">
        <v>68</v>
      </c>
      <c r="C23" s="304">
        <f t="shared" si="2"/>
        <v>5.0932295479940118E-2</v>
      </c>
      <c r="D23" s="304">
        <f t="shared" ref="D23" si="26">+D14/D$16</f>
        <v>4.7362499872047228E-2</v>
      </c>
      <c r="E23" s="320">
        <f t="shared" ref="E23" si="27">+E14/E$16</f>
        <v>4.7756156701471174E-2</v>
      </c>
      <c r="F23" s="304">
        <f t="shared" ref="F23" si="28">+F14/F$16</f>
        <v>4.3257891704104455E-2</v>
      </c>
      <c r="G23" s="304">
        <f t="shared" ref="G23" si="29">+G14/G$16</f>
        <v>4.4858182911848121E-2</v>
      </c>
      <c r="H23" s="320">
        <f t="shared" ref="H23" si="30">+H14/H$16</f>
        <v>4.4749737253367373E-2</v>
      </c>
      <c r="I23" s="320">
        <f t="shared" ref="I23" si="31">+I14/I$16</f>
        <v>4.4952576667482085E-2</v>
      </c>
      <c r="J23" s="320">
        <f t="shared" ref="J23" si="32">+J14/J$16</f>
        <v>4.3322480390572196E-2</v>
      </c>
      <c r="K23" s="897">
        <f t="shared" ref="K23" si="33">+K14/K$16</f>
        <v>4.2195355506445931E-2</v>
      </c>
      <c r="L23" s="321">
        <f>+L14/L$16</f>
        <v>4.3269335931107759E-2</v>
      </c>
    </row>
    <row r="24" spans="2:15" s="9" customFormat="1" ht="20.25" customHeight="1" x14ac:dyDescent="0.25">
      <c r="B24" s="318" t="s">
        <v>239</v>
      </c>
      <c r="C24" s="303">
        <f t="shared" si="2"/>
        <v>0.23441832935719575</v>
      </c>
      <c r="D24" s="303">
        <f t="shared" ref="D24" si="34">+D15/D$16</f>
        <v>0.22359730399797298</v>
      </c>
      <c r="E24" s="326">
        <f t="shared" ref="E24" si="35">+E15/E$16</f>
        <v>0.22137307071900805</v>
      </c>
      <c r="F24" s="303">
        <f t="shared" ref="F24" si="36">+F15/F$16</f>
        <v>0.21133574658887125</v>
      </c>
      <c r="G24" s="303">
        <f t="shared" ref="G24" si="37">+G15/G$16</f>
        <v>0.21758375132237801</v>
      </c>
      <c r="H24" s="326">
        <f t="shared" ref="H24" si="38">+H15/H$16</f>
        <v>0.21194620456644472</v>
      </c>
      <c r="I24" s="326">
        <f t="shared" ref="I24:J25" si="39">+I15/I$16</f>
        <v>0.2094381237157972</v>
      </c>
      <c r="J24" s="326">
        <f t="shared" si="39"/>
        <v>0.19551613376490451</v>
      </c>
      <c r="K24" s="896">
        <f t="shared" ref="K24" si="40">+K15/K$16</f>
        <v>0.19066807356620874</v>
      </c>
      <c r="L24" s="818">
        <f>+L15/L$16</f>
        <v>0.19076248994421588</v>
      </c>
    </row>
    <row r="25" spans="2:15" s="9" customFormat="1" ht="20.25" customHeight="1" x14ac:dyDescent="0.25">
      <c r="B25" s="322" t="s">
        <v>238</v>
      </c>
      <c r="C25" s="323">
        <f t="shared" si="2"/>
        <v>1</v>
      </c>
      <c r="D25" s="323">
        <f t="shared" ref="D25" si="41">+D16/D$16</f>
        <v>1</v>
      </c>
      <c r="E25" s="324">
        <f t="shared" ref="E25" si="42">+E16/E$16</f>
        <v>1</v>
      </c>
      <c r="F25" s="323">
        <f t="shared" ref="F25" si="43">+F16/F$16</f>
        <v>1</v>
      </c>
      <c r="G25" s="323">
        <f t="shared" ref="G25" si="44">+G16/G$16</f>
        <v>1</v>
      </c>
      <c r="H25" s="324">
        <f t="shared" ref="H25" si="45">+H16/H$16</f>
        <v>1</v>
      </c>
      <c r="I25" s="324">
        <f t="shared" si="39"/>
        <v>1</v>
      </c>
      <c r="J25" s="324">
        <f t="shared" si="39"/>
        <v>1</v>
      </c>
      <c r="K25" s="898">
        <f t="shared" ref="K25" si="46">+K16/K$16</f>
        <v>1</v>
      </c>
      <c r="L25" s="325">
        <f>+L16/L$16</f>
        <v>1</v>
      </c>
    </row>
    <row r="26" spans="2:15" s="9" customFormat="1" ht="10.5" customHeight="1" x14ac:dyDescent="0.25">
      <c r="B26" s="305"/>
      <c r="C26" s="306"/>
      <c r="D26" s="306"/>
      <c r="E26" s="307"/>
      <c r="F26" s="307"/>
      <c r="G26" s="307"/>
      <c r="H26" s="307"/>
      <c r="I26" s="307"/>
      <c r="J26" s="307"/>
      <c r="K26" s="307"/>
      <c r="L26" s="307"/>
    </row>
    <row r="27" spans="2:15" s="11" customFormat="1" ht="8.25" customHeight="1" x14ac:dyDescent="0.25">
      <c r="B27" s="271"/>
      <c r="C27" s="271"/>
      <c r="D27" s="271"/>
      <c r="E27" s="271"/>
      <c r="F27" s="271"/>
      <c r="G27" s="271"/>
      <c r="H27" s="271"/>
      <c r="I27" s="271"/>
      <c r="J27" s="271"/>
      <c r="K27" s="271"/>
      <c r="L27" s="271"/>
    </row>
    <row r="28" spans="2:15" s="6" customFormat="1" ht="28.5" customHeight="1" x14ac:dyDescent="0.25">
      <c r="B28" s="310" t="s">
        <v>134</v>
      </c>
      <c r="C28" s="311">
        <v>45016</v>
      </c>
      <c r="D28" s="311">
        <v>45107</v>
      </c>
      <c r="E28" s="311">
        <v>45199</v>
      </c>
      <c r="F28" s="311">
        <v>45291</v>
      </c>
      <c r="G28" s="311">
        <v>45382</v>
      </c>
      <c r="H28" s="311">
        <v>45473</v>
      </c>
      <c r="I28" s="311">
        <v>45565</v>
      </c>
      <c r="J28" s="311">
        <v>45657</v>
      </c>
      <c r="K28" s="327">
        <v>45747</v>
      </c>
      <c r="L28" s="312">
        <v>45838</v>
      </c>
    </row>
    <row r="29" spans="2:15" s="11" customFormat="1" ht="20.25" customHeight="1" x14ac:dyDescent="0.25">
      <c r="B29" s="318" t="s">
        <v>398</v>
      </c>
      <c r="C29" s="152">
        <f t="shared" ref="C29:F29" si="47">SUM(C30:C33)</f>
        <v>10920.926487999999</v>
      </c>
      <c r="D29" s="152">
        <f t="shared" si="47"/>
        <v>10916.133904999999</v>
      </c>
      <c r="E29" s="152">
        <f t="shared" si="47"/>
        <v>10709.794972999998</v>
      </c>
      <c r="F29" s="153">
        <f t="shared" si="47"/>
        <v>11659.12991</v>
      </c>
      <c r="G29" s="153">
        <f t="shared" ref="G29:L29" si="48">SUM(G30:G33)</f>
        <v>12419.752307999999</v>
      </c>
      <c r="H29" s="152">
        <f t="shared" si="48"/>
        <v>13482.556455</v>
      </c>
      <c r="I29" s="152">
        <f t="shared" si="48"/>
        <v>14171.701354000001</v>
      </c>
      <c r="J29" s="152">
        <f t="shared" si="48"/>
        <v>14967.781161000003</v>
      </c>
      <c r="K29" s="829">
        <f t="shared" si="48"/>
        <v>14958.686126000001</v>
      </c>
      <c r="L29" s="209">
        <f t="shared" si="48"/>
        <v>15262.378572000001</v>
      </c>
      <c r="O29" s="796"/>
    </row>
    <row r="30" spans="2:15" s="11" customFormat="1" ht="20.25" customHeight="1" x14ac:dyDescent="0.25">
      <c r="B30" s="317" t="s">
        <v>399</v>
      </c>
      <c r="C30" s="150">
        <v>7472.9160169999996</v>
      </c>
      <c r="D30" s="150">
        <v>7456.6447889999999</v>
      </c>
      <c r="E30" s="150">
        <v>7166.9165309999998</v>
      </c>
      <c r="F30" s="149">
        <v>7708.5475210000004</v>
      </c>
      <c r="G30" s="149">
        <v>8468.586695</v>
      </c>
      <c r="H30" s="150">
        <v>8713.6605920000002</v>
      </c>
      <c r="I30" s="150">
        <v>8999.4559509999999</v>
      </c>
      <c r="J30" s="150">
        <v>9650.6406220000008</v>
      </c>
      <c r="K30" s="824">
        <v>9255.3425189999998</v>
      </c>
      <c r="L30" s="207">
        <v>9437.9522039999993</v>
      </c>
      <c r="N30" s="679"/>
      <c r="O30" s="926"/>
    </row>
    <row r="31" spans="2:15" s="11" customFormat="1" ht="20.25" customHeight="1" x14ac:dyDescent="0.25">
      <c r="B31" s="317" t="s">
        <v>462</v>
      </c>
      <c r="C31" s="150">
        <v>3.4613149999999999</v>
      </c>
      <c r="D31" s="150">
        <v>3.9754969999999998</v>
      </c>
      <c r="E31" s="150">
        <v>1.965157</v>
      </c>
      <c r="F31" s="149">
        <v>3.9390049999999999</v>
      </c>
      <c r="G31" s="149">
        <v>5.4494109999999996</v>
      </c>
      <c r="H31" s="150">
        <v>6.9140249999999996</v>
      </c>
      <c r="I31" s="150">
        <v>6.9128869999999996</v>
      </c>
      <c r="J31" s="150">
        <v>3.9648880000000002</v>
      </c>
      <c r="K31" s="824">
        <v>1.48336</v>
      </c>
      <c r="L31" s="207">
        <v>1.040853</v>
      </c>
      <c r="O31" s="796"/>
    </row>
    <row r="32" spans="2:15" s="11" customFormat="1" ht="20.25" customHeight="1" x14ac:dyDescent="0.25">
      <c r="B32" s="317" t="s">
        <v>400</v>
      </c>
      <c r="C32" s="150">
        <v>2469.6538439999999</v>
      </c>
      <c r="D32" s="150">
        <v>2470.0916229999998</v>
      </c>
      <c r="E32" s="150">
        <v>2425.052745</v>
      </c>
      <c r="F32" s="149">
        <v>2498.6935109999999</v>
      </c>
      <c r="G32" s="149">
        <v>2507.5331809999998</v>
      </c>
      <c r="H32" s="150">
        <v>2499.765598</v>
      </c>
      <c r="I32" s="150">
        <v>2878.7278700000002</v>
      </c>
      <c r="J32" s="150">
        <v>3251.172059</v>
      </c>
      <c r="K32" s="824">
        <v>3521.6424149999998</v>
      </c>
      <c r="L32" s="207">
        <v>4451.9524940000001</v>
      </c>
      <c r="N32" s="679"/>
      <c r="O32" s="926"/>
    </row>
    <row r="33" spans="2:15" s="11" customFormat="1" ht="20.25" customHeight="1" x14ac:dyDescent="0.25">
      <c r="B33" s="317" t="s">
        <v>401</v>
      </c>
      <c r="C33" s="150">
        <v>974.89531199999999</v>
      </c>
      <c r="D33" s="150">
        <v>985.42199600000004</v>
      </c>
      <c r="E33" s="150">
        <v>1115.8605399999999</v>
      </c>
      <c r="F33" s="149">
        <v>1447.949873</v>
      </c>
      <c r="G33" s="149">
        <v>1438.1830210000001</v>
      </c>
      <c r="H33" s="150">
        <v>2262.2162400000002</v>
      </c>
      <c r="I33" s="150">
        <v>2286.6046459999998</v>
      </c>
      <c r="J33" s="150">
        <v>2062.003592</v>
      </c>
      <c r="K33" s="824">
        <v>2180.2178319999998</v>
      </c>
      <c r="L33" s="207">
        <v>1371.4330210000001</v>
      </c>
      <c r="N33" s="679"/>
      <c r="O33" s="796"/>
    </row>
    <row r="34" spans="2:15" s="11" customFormat="1" ht="20.25" customHeight="1" x14ac:dyDescent="0.25">
      <c r="B34" s="318" t="s">
        <v>402</v>
      </c>
      <c r="C34" s="152">
        <f t="shared" ref="C34:F34" si="49">SUM(C35:C39)</f>
        <v>1120.0077610000001</v>
      </c>
      <c r="D34" s="152">
        <f t="shared" si="49"/>
        <v>1275.7065230000001</v>
      </c>
      <c r="E34" s="152">
        <f t="shared" si="49"/>
        <v>1571.234019</v>
      </c>
      <c r="F34" s="153">
        <f t="shared" si="49"/>
        <v>1383.1613770000001</v>
      </c>
      <c r="G34" s="153">
        <f t="shared" ref="G34:L34" si="50">SUM(G35:G39)</f>
        <v>1154.638927</v>
      </c>
      <c r="H34" s="152">
        <f t="shared" si="50"/>
        <v>750.34698700000001</v>
      </c>
      <c r="I34" s="152">
        <f t="shared" si="50"/>
        <v>650.29877800000008</v>
      </c>
      <c r="J34" s="152">
        <f t="shared" si="50"/>
        <v>632.78667899999994</v>
      </c>
      <c r="K34" s="829">
        <f t="shared" si="50"/>
        <v>1264.747658</v>
      </c>
      <c r="L34" s="209">
        <f t="shared" si="50"/>
        <v>1410.833073</v>
      </c>
      <c r="O34" s="796"/>
    </row>
    <row r="35" spans="2:15" s="11" customFormat="1" ht="20.25" customHeight="1" x14ac:dyDescent="0.25">
      <c r="B35" s="317" t="s">
        <v>403</v>
      </c>
      <c r="C35" s="150">
        <v>386.57216099999999</v>
      </c>
      <c r="D35" s="150">
        <v>486.649113</v>
      </c>
      <c r="E35" s="150">
        <v>571.39705200000003</v>
      </c>
      <c r="F35" s="149">
        <v>630.31419100000005</v>
      </c>
      <c r="G35" s="149">
        <v>617.683312</v>
      </c>
      <c r="H35" s="150">
        <v>513.66477599999996</v>
      </c>
      <c r="I35" s="150">
        <v>536.62975200000005</v>
      </c>
      <c r="J35" s="150">
        <v>536.11936100000003</v>
      </c>
      <c r="K35" s="824">
        <v>869.11538499999995</v>
      </c>
      <c r="L35" s="207">
        <v>849.65868</v>
      </c>
      <c r="O35" s="796"/>
    </row>
    <row r="36" spans="2:15" s="11" customFormat="1" ht="20.25" customHeight="1" x14ac:dyDescent="0.25">
      <c r="B36" s="317" t="s">
        <v>463</v>
      </c>
      <c r="C36" s="150">
        <v>627.82879800000001</v>
      </c>
      <c r="D36" s="150">
        <v>732.15990199999999</v>
      </c>
      <c r="E36" s="150">
        <v>945.83629399999995</v>
      </c>
      <c r="F36" s="149">
        <v>704.23255600000005</v>
      </c>
      <c r="G36" s="149">
        <v>482.61389100000002</v>
      </c>
      <c r="H36" s="150">
        <v>151.759398</v>
      </c>
      <c r="I36" s="150">
        <v>0</v>
      </c>
      <c r="J36" s="150">
        <v>34.534500000000001</v>
      </c>
      <c r="K36" s="824">
        <v>34.737499999999997</v>
      </c>
      <c r="L36" s="207">
        <v>0</v>
      </c>
      <c r="O36" s="796"/>
    </row>
    <row r="37" spans="2:15" s="11" customFormat="1" ht="20.25" customHeight="1" x14ac:dyDescent="0.25">
      <c r="B37" s="317" t="s">
        <v>404</v>
      </c>
      <c r="C37" s="150">
        <v>0.87309199999999998</v>
      </c>
      <c r="D37" s="150">
        <v>0.90361400000000003</v>
      </c>
      <c r="E37" s="150">
        <v>0</v>
      </c>
      <c r="F37" s="149">
        <v>0</v>
      </c>
      <c r="G37" s="149">
        <v>0</v>
      </c>
      <c r="H37" s="150">
        <v>29.6172</v>
      </c>
      <c r="I37" s="150">
        <v>62.041116000000002</v>
      </c>
      <c r="J37" s="150">
        <v>17.238447000000001</v>
      </c>
      <c r="K37" s="824">
        <v>167.438694</v>
      </c>
      <c r="L37" s="207">
        <v>167.01119199999999</v>
      </c>
      <c r="O37" s="796"/>
    </row>
    <row r="38" spans="2:15" s="11" customFormat="1" ht="20.25" customHeight="1" x14ac:dyDescent="0.25">
      <c r="B38" s="317" t="s">
        <v>405</v>
      </c>
      <c r="C38" s="150">
        <v>0</v>
      </c>
      <c r="D38" s="150">
        <v>0</v>
      </c>
      <c r="E38" s="150">
        <v>0</v>
      </c>
      <c r="F38" s="149">
        <v>0</v>
      </c>
      <c r="G38" s="149">
        <v>0</v>
      </c>
      <c r="H38" s="150">
        <v>0</v>
      </c>
      <c r="I38" s="150">
        <v>0</v>
      </c>
      <c r="J38" s="150">
        <v>0</v>
      </c>
      <c r="K38" s="824">
        <v>147.761582</v>
      </c>
      <c r="L38" s="207">
        <v>350.85488400000003</v>
      </c>
      <c r="O38" s="796"/>
    </row>
    <row r="39" spans="2:15" s="11" customFormat="1" ht="20.25" customHeight="1" x14ac:dyDescent="0.25">
      <c r="B39" s="317" t="s">
        <v>406</v>
      </c>
      <c r="C39" s="150">
        <v>104.73371</v>
      </c>
      <c r="D39" s="150">
        <v>55.993893999999997</v>
      </c>
      <c r="E39" s="150">
        <v>54.000672999999999</v>
      </c>
      <c r="F39" s="149">
        <v>48.614629999999998</v>
      </c>
      <c r="G39" s="149">
        <v>54.341723999999999</v>
      </c>
      <c r="H39" s="150">
        <v>55.305613000000001</v>
      </c>
      <c r="I39" s="150">
        <v>51.62791</v>
      </c>
      <c r="J39" s="150">
        <v>44.894371</v>
      </c>
      <c r="K39" s="824">
        <v>45.694496999999998</v>
      </c>
      <c r="L39" s="207">
        <v>43.308317000000002</v>
      </c>
      <c r="O39" s="796"/>
    </row>
    <row r="40" spans="2:15" s="11" customFormat="1" ht="20.25" customHeight="1" x14ac:dyDescent="0.25">
      <c r="B40" s="318" t="s">
        <v>407</v>
      </c>
      <c r="C40" s="152">
        <f t="shared" ref="C40:F40" si="51">SUM(C41:C45)</f>
        <v>1013.4453229999999</v>
      </c>
      <c r="D40" s="152">
        <f t="shared" si="51"/>
        <v>1535.3613799999998</v>
      </c>
      <c r="E40" s="152">
        <f>SUM(E41:E45)</f>
        <v>1287.7845659999998</v>
      </c>
      <c r="F40" s="153">
        <f t="shared" si="51"/>
        <v>843.39662199999998</v>
      </c>
      <c r="G40" s="153">
        <f t="shared" ref="G40:L40" si="52">SUM(G41:G45)</f>
        <v>1204.622351</v>
      </c>
      <c r="H40" s="152">
        <f t="shared" si="52"/>
        <v>1202.830653</v>
      </c>
      <c r="I40" s="152">
        <f t="shared" si="52"/>
        <v>1224.4110900000001</v>
      </c>
      <c r="J40" s="152">
        <f t="shared" si="52"/>
        <v>1038.9205649999999</v>
      </c>
      <c r="K40" s="829">
        <f t="shared" si="52"/>
        <v>1246.9653840000001</v>
      </c>
      <c r="L40" s="209">
        <f t="shared" si="52"/>
        <v>1208.7337070000001</v>
      </c>
      <c r="O40" s="796"/>
    </row>
    <row r="41" spans="2:15" s="11" customFormat="1" ht="20.25" customHeight="1" x14ac:dyDescent="0.25">
      <c r="B41" s="317" t="s">
        <v>408</v>
      </c>
      <c r="C41" s="150">
        <v>100.578864</v>
      </c>
      <c r="D41" s="150">
        <v>110.675015</v>
      </c>
      <c r="E41" s="150">
        <v>291.08283499999999</v>
      </c>
      <c r="F41" s="149">
        <v>285.99497500000001</v>
      </c>
      <c r="G41" s="149">
        <v>393.01311600000002</v>
      </c>
      <c r="H41" s="150">
        <v>387.055542</v>
      </c>
      <c r="I41" s="150">
        <v>445.18531000000002</v>
      </c>
      <c r="J41" s="150">
        <v>295.20165100000003</v>
      </c>
      <c r="K41" s="824">
        <v>432.62764399999998</v>
      </c>
      <c r="L41" s="207">
        <v>349.96070200000003</v>
      </c>
      <c r="O41" s="796"/>
    </row>
    <row r="42" spans="2:15" s="11" customFormat="1" ht="20.25" customHeight="1" x14ac:dyDescent="0.25">
      <c r="B42" s="317" t="s">
        <v>464</v>
      </c>
      <c r="C42" s="150">
        <v>75.046774999999997</v>
      </c>
      <c r="D42" s="150">
        <v>90.355296999999993</v>
      </c>
      <c r="E42" s="150">
        <v>92.826797999999997</v>
      </c>
      <c r="F42" s="149">
        <v>189.05755500000001</v>
      </c>
      <c r="G42" s="149">
        <v>176.29110399999999</v>
      </c>
      <c r="H42" s="150">
        <v>174.85132200000001</v>
      </c>
      <c r="I42" s="150">
        <v>132.27575300000001</v>
      </c>
      <c r="J42" s="150">
        <v>153.61202499999999</v>
      </c>
      <c r="K42" s="824">
        <v>222.56300300000001</v>
      </c>
      <c r="L42" s="207">
        <v>176.18103400000001</v>
      </c>
      <c r="O42" s="796"/>
    </row>
    <row r="43" spans="2:15" s="11" customFormat="1" ht="20.25" customHeight="1" x14ac:dyDescent="0.25">
      <c r="B43" s="317" t="s">
        <v>409</v>
      </c>
      <c r="C43" s="150">
        <v>655.20956699999999</v>
      </c>
      <c r="D43" s="150">
        <v>1108.936017</v>
      </c>
      <c r="E43" s="150">
        <v>644.08695999999998</v>
      </c>
      <c r="F43" s="149">
        <v>97.489563000000004</v>
      </c>
      <c r="G43" s="149">
        <v>310.96522100000004</v>
      </c>
      <c r="H43" s="150">
        <v>336.24692100000004</v>
      </c>
      <c r="I43" s="150">
        <v>299.17784900000004</v>
      </c>
      <c r="J43" s="150">
        <v>248.36375600000002</v>
      </c>
      <c r="K43" s="824">
        <v>256.04882499999997</v>
      </c>
      <c r="L43" s="207">
        <v>303.62015300000002</v>
      </c>
      <c r="O43" s="796"/>
    </row>
    <row r="44" spans="2:15" s="11" customFormat="1" ht="20.25" customHeight="1" x14ac:dyDescent="0.25">
      <c r="B44" s="317" t="s">
        <v>410</v>
      </c>
      <c r="C44" s="150">
        <v>12.447543000000001</v>
      </c>
      <c r="D44" s="150">
        <v>34.237417000000001</v>
      </c>
      <c r="E44" s="150">
        <v>76.994902999999994</v>
      </c>
      <c r="F44" s="149">
        <v>73.962278999999995</v>
      </c>
      <c r="G44" s="149">
        <v>82.248053999999996</v>
      </c>
      <c r="H44" s="150">
        <v>66.852252000000007</v>
      </c>
      <c r="I44" s="150">
        <v>108.992594</v>
      </c>
      <c r="J44" s="150">
        <v>103.520844</v>
      </c>
      <c r="K44" s="824">
        <v>101.114265</v>
      </c>
      <c r="L44" s="207">
        <v>111.408135</v>
      </c>
      <c r="O44" s="796"/>
    </row>
    <row r="45" spans="2:15" s="11" customFormat="1" ht="20.25" customHeight="1" x14ac:dyDescent="0.25">
      <c r="B45" s="317" t="s">
        <v>411</v>
      </c>
      <c r="C45" s="150">
        <v>170.16257400000001</v>
      </c>
      <c r="D45" s="150">
        <v>191.157634</v>
      </c>
      <c r="E45" s="150">
        <v>182.79307</v>
      </c>
      <c r="F45" s="149">
        <v>196.89224999999999</v>
      </c>
      <c r="G45" s="149">
        <v>242.10485600000001</v>
      </c>
      <c r="H45" s="150">
        <v>237.82461599999999</v>
      </c>
      <c r="I45" s="150">
        <v>238.779584</v>
      </c>
      <c r="J45" s="150">
        <v>238.22228899999999</v>
      </c>
      <c r="K45" s="824">
        <v>234.611647</v>
      </c>
      <c r="L45" s="207">
        <v>267.56368300000003</v>
      </c>
      <c r="O45" s="796"/>
    </row>
    <row r="46" spans="2:15" s="11" customFormat="1" ht="20.25" customHeight="1" x14ac:dyDescent="0.25">
      <c r="B46" s="318" t="s">
        <v>412</v>
      </c>
      <c r="C46" s="152">
        <v>2070.4380000000001</v>
      </c>
      <c r="D46" s="152">
        <v>2278.8969999999999</v>
      </c>
      <c r="E46" s="152">
        <v>2479.9630000000002</v>
      </c>
      <c r="F46" s="153">
        <v>190.95599999999999</v>
      </c>
      <c r="G46" s="153">
        <v>185.03299999999999</v>
      </c>
      <c r="H46" s="152">
        <v>143.70500000000001</v>
      </c>
      <c r="I46" s="152">
        <v>176.60726251</v>
      </c>
      <c r="J46" s="152">
        <v>197.047</v>
      </c>
      <c r="K46" s="829">
        <v>166.035</v>
      </c>
      <c r="L46" s="209">
        <v>201.45599999999999</v>
      </c>
      <c r="O46" s="796"/>
    </row>
    <row r="47" spans="2:15" s="11" customFormat="1" ht="20.25" customHeight="1" x14ac:dyDescent="0.25">
      <c r="B47" s="322" t="s">
        <v>413</v>
      </c>
      <c r="C47" s="177">
        <f t="shared" ref="C47" si="53">C29+C34+C40+C46</f>
        <v>15124.817572</v>
      </c>
      <c r="D47" s="177">
        <f t="shared" ref="D47:F47" si="54">D29+D34+D40+D46</f>
        <v>16006.098807999999</v>
      </c>
      <c r="E47" s="177">
        <f>E29+E34+E40+E46</f>
        <v>16048.776557999998</v>
      </c>
      <c r="F47" s="183">
        <f t="shared" si="54"/>
        <v>14076.643909</v>
      </c>
      <c r="G47" s="183">
        <f t="shared" ref="G47:L47" si="55">G29+G34+G40+G46</f>
        <v>14964.046585999999</v>
      </c>
      <c r="H47" s="182">
        <f t="shared" si="55"/>
        <v>15579.439095</v>
      </c>
      <c r="I47" s="182">
        <f t="shared" si="55"/>
        <v>16223.018484510001</v>
      </c>
      <c r="J47" s="182">
        <f t="shared" si="55"/>
        <v>16836.535405000002</v>
      </c>
      <c r="K47" s="832">
        <f t="shared" si="55"/>
        <v>17636.434168</v>
      </c>
      <c r="L47" s="215">
        <f t="shared" si="55"/>
        <v>18083.401352000001</v>
      </c>
      <c r="N47" s="679"/>
      <c r="O47" s="796"/>
    </row>
    <row r="48" spans="2:15" s="11" customFormat="1" ht="9.75" customHeight="1" x14ac:dyDescent="0.25">
      <c r="B48" s="305"/>
      <c r="C48" s="301"/>
      <c r="D48" s="301"/>
      <c r="E48" s="301"/>
      <c r="F48" s="301"/>
      <c r="G48" s="301"/>
      <c r="H48" s="301"/>
      <c r="I48" s="301"/>
      <c r="J48" s="301"/>
      <c r="K48" s="301"/>
      <c r="L48" s="301"/>
    </row>
    <row r="49" spans="2:16" s="11" customFormat="1" ht="11.4" customHeight="1" x14ac:dyDescent="0.25">
      <c r="B49" s="305"/>
      <c r="C49" s="301"/>
      <c r="D49" s="301"/>
      <c r="E49" s="301"/>
      <c r="F49" s="301"/>
      <c r="G49" s="301"/>
      <c r="H49" s="301"/>
      <c r="I49" s="301"/>
      <c r="J49" s="301"/>
      <c r="K49" s="301"/>
      <c r="L49" s="301"/>
    </row>
    <row r="50" spans="2:16" s="11" customFormat="1" ht="28.2" customHeight="1" x14ac:dyDescent="0.25">
      <c r="B50" s="310" t="s">
        <v>467</v>
      </c>
      <c r="C50" s="311">
        <v>45016</v>
      </c>
      <c r="D50" s="311">
        <v>45107</v>
      </c>
      <c r="E50" s="311">
        <v>45199</v>
      </c>
      <c r="F50" s="311">
        <v>45291</v>
      </c>
      <c r="G50" s="311">
        <v>45382</v>
      </c>
      <c r="H50" s="311">
        <v>45473</v>
      </c>
      <c r="I50" s="311">
        <v>45565</v>
      </c>
      <c r="J50" s="311">
        <v>45657</v>
      </c>
      <c r="K50" s="327">
        <v>45747</v>
      </c>
      <c r="L50" s="312">
        <v>45838</v>
      </c>
    </row>
    <row r="51" spans="2:16" s="11" customFormat="1" ht="19.95" customHeight="1" x14ac:dyDescent="0.25">
      <c r="B51" s="148" t="s">
        <v>448</v>
      </c>
      <c r="C51" s="149">
        <v>1521.57</v>
      </c>
      <c r="D51" s="149">
        <v>1753.405</v>
      </c>
      <c r="E51" s="150">
        <v>1754.3810000000001</v>
      </c>
      <c r="F51" s="149">
        <v>1756.961</v>
      </c>
      <c r="G51" s="149">
        <v>1798.298</v>
      </c>
      <c r="H51" s="150">
        <v>1801.8679999999999</v>
      </c>
      <c r="I51" s="150">
        <v>1811.91643264</v>
      </c>
      <c r="J51" s="150">
        <v>1790.49</v>
      </c>
      <c r="K51" s="824">
        <v>1815.203</v>
      </c>
      <c r="L51" s="207">
        <v>1827.6010000000001</v>
      </c>
      <c r="N51" s="679"/>
      <c r="O51" s="679"/>
    </row>
    <row r="52" spans="2:16" s="11" customFormat="1" ht="19.95" customHeight="1" x14ac:dyDescent="0.25">
      <c r="B52" s="148" t="s">
        <v>449</v>
      </c>
      <c r="C52" s="149">
        <v>1262.5139999999999</v>
      </c>
      <c r="D52" s="149">
        <v>1195.6880000000001</v>
      </c>
      <c r="E52" s="150">
        <v>1202.365</v>
      </c>
      <c r="F52" s="149">
        <v>1167.2819999999999</v>
      </c>
      <c r="G52" s="149">
        <v>1175.7360000000001</v>
      </c>
      <c r="H52" s="150">
        <v>1171.664</v>
      </c>
      <c r="I52" s="150">
        <v>1167.81467823</v>
      </c>
      <c r="J52" s="150">
        <v>1010.684</v>
      </c>
      <c r="K52" s="824">
        <v>1008.126</v>
      </c>
      <c r="L52" s="207">
        <v>996.18700000000001</v>
      </c>
      <c r="N52" s="679"/>
      <c r="O52" s="679"/>
    </row>
    <row r="53" spans="2:16" s="11" customFormat="1" ht="19.95" customHeight="1" x14ac:dyDescent="0.25">
      <c r="B53" s="148" t="s">
        <v>450</v>
      </c>
      <c r="C53" s="149">
        <v>522.47415680999995</v>
      </c>
      <c r="D53" s="149">
        <v>512.2404389400001</v>
      </c>
      <c r="E53" s="150">
        <v>480.66539519999992</v>
      </c>
      <c r="F53" s="149">
        <v>514.96894064000003</v>
      </c>
      <c r="G53" s="149">
        <v>524.21140799</v>
      </c>
      <c r="H53" s="150">
        <v>574.45337884000003</v>
      </c>
      <c r="I53" s="150">
        <v>531.5516630300001</v>
      </c>
      <c r="J53" s="150">
        <v>509.06876013999999</v>
      </c>
      <c r="K53" s="824">
        <v>495.53558586000003</v>
      </c>
      <c r="L53" s="207">
        <v>499.02</v>
      </c>
      <c r="N53" s="679"/>
      <c r="O53" s="679"/>
    </row>
    <row r="54" spans="2:16" s="11" customFormat="1" ht="19.95" customHeight="1" x14ac:dyDescent="0.25">
      <c r="B54" s="682" t="s">
        <v>447</v>
      </c>
      <c r="C54" s="683">
        <f t="shared" ref="C54:G54" si="56">SUM(C51:C53)</f>
        <v>3306.5581568099997</v>
      </c>
      <c r="D54" s="683">
        <f t="shared" si="56"/>
        <v>3461.3334389399997</v>
      </c>
      <c r="E54" s="683">
        <f t="shared" si="56"/>
        <v>3437.4113951999998</v>
      </c>
      <c r="F54" s="683">
        <f t="shared" si="56"/>
        <v>3439.2119406399997</v>
      </c>
      <c r="G54" s="683">
        <f t="shared" si="56"/>
        <v>3498.2454079899999</v>
      </c>
      <c r="H54" s="776">
        <f t="shared" ref="H54" si="57">SUM(H51:H53)</f>
        <v>3547.9853788400001</v>
      </c>
      <c r="I54" s="776">
        <f t="shared" ref="I54" si="58">SUM(I51:I53)</f>
        <v>3511.2827739000004</v>
      </c>
      <c r="J54" s="776">
        <f t="shared" ref="J54" si="59">SUM(J51:J53)</f>
        <v>3310.24276014</v>
      </c>
      <c r="K54" s="899">
        <f>SUM(K51:K53)</f>
        <v>3318.8645858599998</v>
      </c>
      <c r="L54" s="684">
        <f>SUM(L51:L53)</f>
        <v>3322.808</v>
      </c>
      <c r="O54" s="679"/>
    </row>
    <row r="55" spans="2:16" s="11" customFormat="1" ht="11.4" customHeight="1" x14ac:dyDescent="0.25">
      <c r="B55" s="681"/>
      <c r="C55" s="302"/>
      <c r="D55" s="302"/>
      <c r="E55" s="302"/>
      <c r="F55" s="302"/>
      <c r="G55" s="302"/>
      <c r="H55" s="302"/>
      <c r="I55" s="302"/>
      <c r="J55" s="302"/>
      <c r="K55" s="302"/>
      <c r="L55" s="302"/>
    </row>
    <row r="56" spans="2:16" s="11" customFormat="1" ht="13.5" customHeight="1" x14ac:dyDescent="0.25">
      <c r="B56" s="939"/>
      <c r="C56" s="940"/>
      <c r="D56" s="940"/>
      <c r="E56" s="940"/>
      <c r="F56" s="940"/>
      <c r="G56" s="940"/>
      <c r="H56" s="940"/>
      <c r="I56" s="940"/>
      <c r="J56" s="940"/>
      <c r="K56" s="940"/>
      <c r="L56" s="940"/>
    </row>
    <row r="57" spans="2:16" s="6" customFormat="1" ht="28.5" customHeight="1" x14ac:dyDescent="0.25">
      <c r="B57" s="310" t="s">
        <v>12</v>
      </c>
      <c r="C57" s="311">
        <v>45016</v>
      </c>
      <c r="D57" s="311">
        <v>45107</v>
      </c>
      <c r="E57" s="311">
        <v>45199</v>
      </c>
      <c r="F57" s="311">
        <v>45291</v>
      </c>
      <c r="G57" s="311">
        <v>45382</v>
      </c>
      <c r="H57" s="311">
        <v>45473</v>
      </c>
      <c r="I57" s="311">
        <v>45565</v>
      </c>
      <c r="J57" s="311">
        <v>45657</v>
      </c>
      <c r="K57" s="327">
        <v>45747</v>
      </c>
      <c r="L57" s="312">
        <v>45838</v>
      </c>
    </row>
    <row r="58" spans="2:16" s="9" customFormat="1" ht="20.25" customHeight="1" x14ac:dyDescent="0.25">
      <c r="B58" s="317" t="s">
        <v>21</v>
      </c>
      <c r="C58" s="149">
        <v>24277.181081999999</v>
      </c>
      <c r="D58" s="149">
        <v>23702.750005000002</v>
      </c>
      <c r="E58" s="150">
        <v>23350.971354000001</v>
      </c>
      <c r="F58" s="149">
        <v>24184.438458000001</v>
      </c>
      <c r="G58" s="149">
        <v>23527.740998000001</v>
      </c>
      <c r="H58" s="150">
        <v>23467.172824000001</v>
      </c>
      <c r="I58" s="150">
        <v>23270.471738</v>
      </c>
      <c r="J58" s="150">
        <v>24508.576004999999</v>
      </c>
      <c r="K58" s="824">
        <v>23881.518606000001</v>
      </c>
      <c r="L58" s="207">
        <v>23867.162552999998</v>
      </c>
      <c r="N58" s="797"/>
      <c r="O58" s="39"/>
      <c r="P58" s="39"/>
    </row>
    <row r="59" spans="2:16" s="9" customFormat="1" ht="20.25" customHeight="1" x14ac:dyDescent="0.25">
      <c r="B59" s="317" t="s">
        <v>22</v>
      </c>
      <c r="C59" s="149">
        <v>21038.986684</v>
      </c>
      <c r="D59" s="149">
        <v>21165.675943999999</v>
      </c>
      <c r="E59" s="150">
        <v>21446.329603000002</v>
      </c>
      <c r="F59" s="149">
        <v>21876.783459000002</v>
      </c>
      <c r="G59" s="149">
        <v>21755.955046999999</v>
      </c>
      <c r="H59" s="150">
        <v>22747.633449999998</v>
      </c>
      <c r="I59" s="150">
        <v>23774.306382000002</v>
      </c>
      <c r="J59" s="150">
        <v>24662.818252999998</v>
      </c>
      <c r="K59" s="824">
        <v>23790.598916999999</v>
      </c>
      <c r="L59" s="207">
        <v>25953.931485000001</v>
      </c>
      <c r="N59" s="797"/>
      <c r="O59" s="39"/>
      <c r="P59" s="39"/>
    </row>
    <row r="60" spans="2:16" s="9" customFormat="1" ht="20.25" customHeight="1" x14ac:dyDescent="0.25">
      <c r="B60" s="317" t="s">
        <v>123</v>
      </c>
      <c r="C60" s="149">
        <v>11857.747619</v>
      </c>
      <c r="D60" s="149">
        <v>13513.061891000001</v>
      </c>
      <c r="E60" s="150">
        <v>13865.773385</v>
      </c>
      <c r="F60" s="149">
        <v>13505.433376999999</v>
      </c>
      <c r="G60" s="149">
        <v>13307.001789</v>
      </c>
      <c r="H60" s="150">
        <v>13542.628015999999</v>
      </c>
      <c r="I60" s="150">
        <v>13495.229067</v>
      </c>
      <c r="J60" s="150">
        <v>13681.466689999999</v>
      </c>
      <c r="K60" s="824">
        <v>13767.064464999999</v>
      </c>
      <c r="L60" s="207">
        <v>13037.22926</v>
      </c>
      <c r="N60" s="797"/>
      <c r="O60" s="39"/>
      <c r="P60" s="39"/>
    </row>
    <row r="61" spans="2:16" s="9" customFormat="1" ht="20.25" customHeight="1" x14ac:dyDescent="0.25">
      <c r="B61" s="318" t="s">
        <v>240</v>
      </c>
      <c r="C61" s="302">
        <f t="shared" ref="C61" si="60">C58+C59+C60</f>
        <v>57173.915385</v>
      </c>
      <c r="D61" s="302">
        <f t="shared" ref="D61:H61" si="61">D58+D59+D60</f>
        <v>58381.487840000002</v>
      </c>
      <c r="E61" s="301">
        <f t="shared" si="61"/>
        <v>58663.074342</v>
      </c>
      <c r="F61" s="302">
        <f t="shared" si="61"/>
        <v>59566.655294000004</v>
      </c>
      <c r="G61" s="302">
        <f t="shared" si="61"/>
        <v>58590.697834000006</v>
      </c>
      <c r="H61" s="301">
        <f t="shared" si="61"/>
        <v>59757.434290000005</v>
      </c>
      <c r="I61" s="301">
        <f>I58+I59+I60</f>
        <v>60540.007187000003</v>
      </c>
      <c r="J61" s="301">
        <f>J58+J59+J60</f>
        <v>62852.860948000001</v>
      </c>
      <c r="K61" s="895">
        <f>K58+K59+K60</f>
        <v>61439.181987999997</v>
      </c>
      <c r="L61" s="313">
        <f>L58+L59+L60</f>
        <v>62858.323297999996</v>
      </c>
      <c r="N61" s="798"/>
      <c r="O61" s="39"/>
    </row>
    <row r="62" spans="2:16" s="9" customFormat="1" ht="14.25" customHeight="1" x14ac:dyDescent="0.25">
      <c r="B62" s="318"/>
      <c r="C62" s="302"/>
      <c r="D62" s="302"/>
      <c r="E62" s="301"/>
      <c r="F62" s="302"/>
      <c r="G62" s="302"/>
      <c r="H62" s="301"/>
      <c r="I62" s="301"/>
      <c r="J62" s="301"/>
      <c r="K62" s="895"/>
      <c r="L62" s="313"/>
    </row>
    <row r="63" spans="2:16" s="9" customFormat="1" ht="20.25" customHeight="1" x14ac:dyDescent="0.25">
      <c r="B63" s="319" t="s">
        <v>23</v>
      </c>
      <c r="C63" s="302"/>
      <c r="D63" s="302"/>
      <c r="E63" s="301"/>
      <c r="F63" s="302"/>
      <c r="G63" s="302"/>
      <c r="H63" s="301"/>
      <c r="I63" s="301"/>
      <c r="J63" s="301"/>
      <c r="K63" s="895"/>
      <c r="L63" s="313"/>
    </row>
    <row r="64" spans="2:16" s="9" customFormat="1" ht="20.25" customHeight="1" x14ac:dyDescent="0.25">
      <c r="B64" s="317" t="s">
        <v>21</v>
      </c>
      <c r="C64" s="304">
        <f t="shared" ref="C64:E64" si="62">+C58/C$61</f>
        <v>0.42461987986167021</v>
      </c>
      <c r="D64" s="304">
        <f t="shared" si="62"/>
        <v>0.40599770375773281</v>
      </c>
      <c r="E64" s="320">
        <f t="shared" si="62"/>
        <v>0.398052294666081</v>
      </c>
      <c r="F64" s="304">
        <f t="shared" ref="F64" si="63">+F58/F$61</f>
        <v>0.40600631911652824</v>
      </c>
      <c r="G64" s="304">
        <f t="shared" ref="G64" si="64">+G58/G$61</f>
        <v>0.40156103046697156</v>
      </c>
      <c r="H64" s="320">
        <f t="shared" ref="H64" si="65">+H58/H$61</f>
        <v>0.3927071686196385</v>
      </c>
      <c r="I64" s="320">
        <f t="shared" ref="I64:I66" si="66">+I58/I$61</f>
        <v>0.38438171416334027</v>
      </c>
      <c r="J64" s="320">
        <f t="shared" ref="J64" si="67">+J58/J$61</f>
        <v>0.38993572663743431</v>
      </c>
      <c r="K64" s="897">
        <f t="shared" ref="K64" si="68">+K58/K$61</f>
        <v>0.38870176706884579</v>
      </c>
      <c r="L64" s="321">
        <f>+L58/L$61</f>
        <v>0.37969772817276842</v>
      </c>
    </row>
    <row r="65" spans="2:16" s="9" customFormat="1" ht="20.25" customHeight="1" x14ac:dyDescent="0.25">
      <c r="B65" s="317" t="s">
        <v>22</v>
      </c>
      <c r="C65" s="304">
        <f t="shared" ref="C65" si="69">+C59/C$61</f>
        <v>0.36798226153179869</v>
      </c>
      <c r="D65" s="304">
        <f t="shared" ref="D65" si="70">+D59/D$61</f>
        <v>0.36254087943093433</v>
      </c>
      <c r="E65" s="320">
        <f t="shared" ref="E65" si="71">+E59/E$61</f>
        <v>0.36558482219956617</v>
      </c>
      <c r="F65" s="304">
        <f t="shared" ref="F65" si="72">+F59/F$61</f>
        <v>0.36726560104850464</v>
      </c>
      <c r="G65" s="304">
        <f t="shared" ref="G65" si="73">+G59/G$61</f>
        <v>0.37132097502301953</v>
      </c>
      <c r="H65" s="320">
        <f t="shared" ref="H65" si="74">+H59/H$61</f>
        <v>0.38066616681711613</v>
      </c>
      <c r="I65" s="320">
        <f t="shared" si="66"/>
        <v>0.39270405615520232</v>
      </c>
      <c r="J65" s="320">
        <f t="shared" ref="J65" si="75">+J59/J$61</f>
        <v>0.39238974775395291</v>
      </c>
      <c r="K65" s="897">
        <f t="shared" ref="K65" si="76">+K59/K$61</f>
        <v>0.38722193471987737</v>
      </c>
      <c r="L65" s="321">
        <f>+L59/L$61</f>
        <v>0.4128957013688877</v>
      </c>
    </row>
    <row r="66" spans="2:16" s="9" customFormat="1" ht="20.25" customHeight="1" x14ac:dyDescent="0.25">
      <c r="B66" s="317" t="s">
        <v>123</v>
      </c>
      <c r="C66" s="304">
        <f t="shared" ref="C66" si="77">+C60/C$61</f>
        <v>0.20739785860653104</v>
      </c>
      <c r="D66" s="304">
        <f t="shared" ref="D66" si="78">+D60/D$61</f>
        <v>0.23146141681133287</v>
      </c>
      <c r="E66" s="320">
        <f t="shared" ref="E66" si="79">+E60/E$61</f>
        <v>0.23636288313435286</v>
      </c>
      <c r="F66" s="304">
        <f t="shared" ref="F66" si="80">+F60/F$61</f>
        <v>0.22672807983496712</v>
      </c>
      <c r="G66" s="304">
        <f t="shared" ref="G66" si="81">+G60/G$61</f>
        <v>0.22711799451000883</v>
      </c>
      <c r="H66" s="320">
        <f t="shared" ref="H66" si="82">+H60/H$61</f>
        <v>0.22662666456324521</v>
      </c>
      <c r="I66" s="320">
        <f t="shared" si="66"/>
        <v>0.22291422968145741</v>
      </c>
      <c r="J66" s="320">
        <f t="shared" ref="J66" si="83">+J60/J$61</f>
        <v>0.2176745256086127</v>
      </c>
      <c r="K66" s="897">
        <f t="shared" ref="K66:L66" si="84">+K60/K$61</f>
        <v>0.22407629821127689</v>
      </c>
      <c r="L66" s="321">
        <f t="shared" si="84"/>
        <v>0.20740657045834396</v>
      </c>
    </row>
    <row r="67" spans="2:16" s="9" customFormat="1" ht="20.25" customHeight="1" x14ac:dyDescent="0.25">
      <c r="B67" s="322" t="s">
        <v>241</v>
      </c>
      <c r="C67" s="323">
        <f t="shared" ref="C67:E67" si="85">+C64+C65+C66</f>
        <v>1</v>
      </c>
      <c r="D67" s="323">
        <f t="shared" si="85"/>
        <v>1</v>
      </c>
      <c r="E67" s="324">
        <f t="shared" si="85"/>
        <v>1</v>
      </c>
      <c r="F67" s="323">
        <f t="shared" ref="F67" si="86">+F64+F65+F66</f>
        <v>1</v>
      </c>
      <c r="G67" s="323">
        <f t="shared" ref="G67" si="87">+G64+G65+G66</f>
        <v>0.99999999999999989</v>
      </c>
      <c r="H67" s="324">
        <f t="shared" ref="H67" si="88">+H64+H65+H66</f>
        <v>0.99999999999999989</v>
      </c>
      <c r="I67" s="324">
        <f>+I64+I65+I66</f>
        <v>1</v>
      </c>
      <c r="J67" s="324">
        <f>+J64+J65+J66</f>
        <v>0.99999999999999989</v>
      </c>
      <c r="K67" s="898">
        <f>+K64+K65+K66</f>
        <v>1</v>
      </c>
      <c r="L67" s="325">
        <f>+L64+L65+L66</f>
        <v>1</v>
      </c>
    </row>
    <row r="68" spans="2:16" s="11" customFormat="1" ht="11.25" customHeight="1" x14ac:dyDescent="0.25">
      <c r="B68" s="271"/>
      <c r="C68" s="271"/>
      <c r="D68" s="271"/>
      <c r="E68" s="271"/>
      <c r="F68" s="271"/>
      <c r="G68" s="271"/>
      <c r="H68" s="271"/>
      <c r="I68" s="271"/>
      <c r="J68" s="271"/>
      <c r="K68" s="271"/>
      <c r="L68" s="271"/>
    </row>
    <row r="69" spans="2:16" s="19" customFormat="1" ht="13.5" customHeight="1" x14ac:dyDescent="0.25">
      <c r="B69" s="308"/>
      <c r="C69" s="309"/>
      <c r="D69" s="309"/>
      <c r="E69" s="309"/>
      <c r="F69" s="309"/>
      <c r="G69" s="309"/>
      <c r="H69" s="309"/>
      <c r="I69" s="309"/>
      <c r="J69" s="309"/>
      <c r="K69" s="309"/>
      <c r="L69" s="309"/>
    </row>
    <row r="70" spans="2:16" ht="21" customHeight="1" x14ac:dyDescent="0.25">
      <c r="B70" s="310" t="s">
        <v>91</v>
      </c>
      <c r="C70" s="311">
        <v>45016</v>
      </c>
      <c r="D70" s="311">
        <v>45107</v>
      </c>
      <c r="E70" s="311">
        <v>45199</v>
      </c>
      <c r="F70" s="311">
        <v>45291</v>
      </c>
      <c r="G70" s="311">
        <v>45382</v>
      </c>
      <c r="H70" s="311">
        <v>45473</v>
      </c>
      <c r="I70" s="311">
        <v>45565</v>
      </c>
      <c r="J70" s="311">
        <v>45657</v>
      </c>
      <c r="K70" s="327">
        <v>45747</v>
      </c>
      <c r="L70" s="312">
        <v>45838</v>
      </c>
    </row>
    <row r="71" spans="2:16" ht="21" customHeight="1" x14ac:dyDescent="0.25">
      <c r="B71" s="151" t="s">
        <v>92</v>
      </c>
      <c r="C71" s="153">
        <f t="shared" ref="C71" si="89">C72+C73</f>
        <v>57173.915385</v>
      </c>
      <c r="D71" s="153">
        <f t="shared" ref="D71" si="90">D72+D73</f>
        <v>58381.487840000002</v>
      </c>
      <c r="E71" s="152">
        <f t="shared" ref="E71" si="91">E72+E73</f>
        <v>58663.074342</v>
      </c>
      <c r="F71" s="153">
        <f t="shared" ref="F71" si="92">F72+F73</f>
        <v>59566.655293999997</v>
      </c>
      <c r="G71" s="153">
        <f t="shared" ref="G71:L71" si="93">G72+G73</f>
        <v>58590.697834000006</v>
      </c>
      <c r="H71" s="152">
        <f t="shared" si="93"/>
        <v>59757.434290000005</v>
      </c>
      <c r="I71" s="152">
        <f t="shared" si="93"/>
        <v>60540.007187000003</v>
      </c>
      <c r="J71" s="152">
        <f t="shared" si="93"/>
        <v>62852.860947999994</v>
      </c>
      <c r="K71" s="829">
        <f t="shared" si="93"/>
        <v>61439.181988000011</v>
      </c>
      <c r="L71" s="209">
        <f t="shared" si="93"/>
        <v>62858.323297999996</v>
      </c>
    </row>
    <row r="72" spans="2:16" ht="21" customHeight="1" x14ac:dyDescent="0.25">
      <c r="B72" s="148" t="s">
        <v>93</v>
      </c>
      <c r="C72" s="149">
        <v>45316.167765999999</v>
      </c>
      <c r="D72" s="149">
        <v>44868.425948999997</v>
      </c>
      <c r="E72" s="150">
        <v>44797.300956999999</v>
      </c>
      <c r="F72" s="149">
        <v>46061.221916999995</v>
      </c>
      <c r="G72" s="149">
        <v>45283.696045000004</v>
      </c>
      <c r="H72" s="150">
        <v>46214.806274000002</v>
      </c>
      <c r="I72" s="150">
        <v>47044.778120000003</v>
      </c>
      <c r="J72" s="150">
        <v>49171.394257999993</v>
      </c>
      <c r="K72" s="824">
        <v>47672.117523000008</v>
      </c>
      <c r="L72" s="207">
        <v>49821.094037999996</v>
      </c>
    </row>
    <row r="73" spans="2:16" ht="21" customHeight="1" x14ac:dyDescent="0.25">
      <c r="B73" s="148" t="s">
        <v>94</v>
      </c>
      <c r="C73" s="149">
        <v>11857.747619</v>
      </c>
      <c r="D73" s="149">
        <v>13513.061891000001</v>
      </c>
      <c r="E73" s="150">
        <v>13865.773385</v>
      </c>
      <c r="F73" s="149">
        <v>13505.433376999999</v>
      </c>
      <c r="G73" s="149">
        <v>13307.001789</v>
      </c>
      <c r="H73" s="150">
        <v>13542.628015999999</v>
      </c>
      <c r="I73" s="150">
        <v>13495.229067</v>
      </c>
      <c r="J73" s="150">
        <v>13681.466689999999</v>
      </c>
      <c r="K73" s="824">
        <v>13767.064464999999</v>
      </c>
      <c r="L73" s="207">
        <v>13037.22926</v>
      </c>
    </row>
    <row r="74" spans="2:16" ht="21" customHeight="1" x14ac:dyDescent="0.25">
      <c r="B74" s="151" t="s">
        <v>418</v>
      </c>
      <c r="C74" s="302">
        <f t="shared" ref="C74:E74" si="94">C75+C76+C77</f>
        <v>7554</v>
      </c>
      <c r="D74" s="302">
        <f t="shared" si="94"/>
        <v>8220</v>
      </c>
      <c r="E74" s="302">
        <f t="shared" si="94"/>
        <v>8512</v>
      </c>
      <c r="F74" s="302">
        <f t="shared" ref="F74:J74" si="95">F75+F76+F77</f>
        <v>9311</v>
      </c>
      <c r="G74" s="302">
        <f t="shared" si="95"/>
        <v>10037</v>
      </c>
      <c r="H74" s="301">
        <f t="shared" si="95"/>
        <v>10427</v>
      </c>
      <c r="I74" s="301">
        <f t="shared" si="95"/>
        <v>11009</v>
      </c>
      <c r="J74" s="301">
        <f t="shared" si="95"/>
        <v>11440</v>
      </c>
      <c r="K74" s="895">
        <f t="shared" ref="K74:L74" si="96">K75+K76+K77</f>
        <v>12521</v>
      </c>
      <c r="L74" s="313">
        <f t="shared" si="96"/>
        <v>13191.5</v>
      </c>
      <c r="O74" s="927"/>
      <c r="P74" s="927"/>
    </row>
    <row r="75" spans="2:16" ht="21" customHeight="1" x14ac:dyDescent="0.25">
      <c r="B75" s="314" t="s">
        <v>325</v>
      </c>
      <c r="C75" s="231">
        <v>2559</v>
      </c>
      <c r="D75" s="231">
        <v>2752</v>
      </c>
      <c r="E75" s="239">
        <v>2873</v>
      </c>
      <c r="F75" s="231">
        <v>3347</v>
      </c>
      <c r="G75" s="231">
        <v>3726</v>
      </c>
      <c r="H75" s="239">
        <v>4102</v>
      </c>
      <c r="I75" s="239">
        <v>4403</v>
      </c>
      <c r="J75" s="239">
        <v>4578</v>
      </c>
      <c r="K75" s="900">
        <v>5187.5</v>
      </c>
      <c r="L75" s="315">
        <v>5378</v>
      </c>
      <c r="N75" s="757"/>
      <c r="O75" s="757"/>
    </row>
    <row r="76" spans="2:16" ht="21" customHeight="1" x14ac:dyDescent="0.25">
      <c r="B76" s="314" t="s">
        <v>393</v>
      </c>
      <c r="C76" s="231">
        <v>1333</v>
      </c>
      <c r="D76" s="231">
        <v>1600</v>
      </c>
      <c r="E76" s="239">
        <v>1686</v>
      </c>
      <c r="F76" s="231">
        <v>1811</v>
      </c>
      <c r="G76" s="231">
        <v>1975</v>
      </c>
      <c r="H76" s="239">
        <v>1878</v>
      </c>
      <c r="I76" s="239">
        <v>1989</v>
      </c>
      <c r="J76" s="239">
        <v>2060</v>
      </c>
      <c r="K76" s="900">
        <v>2390.5</v>
      </c>
      <c r="L76" s="315">
        <v>2662</v>
      </c>
      <c r="N76" s="757"/>
      <c r="O76" s="757"/>
    </row>
    <row r="77" spans="2:16" ht="21" customHeight="1" x14ac:dyDescent="0.25">
      <c r="B77" s="314" t="s">
        <v>326</v>
      </c>
      <c r="C77" s="231">
        <v>3662</v>
      </c>
      <c r="D77" s="231">
        <v>3868</v>
      </c>
      <c r="E77" s="239">
        <v>3953</v>
      </c>
      <c r="F77" s="231">
        <v>4153</v>
      </c>
      <c r="G77" s="231">
        <v>4336</v>
      </c>
      <c r="H77" s="239">
        <v>4447</v>
      </c>
      <c r="I77" s="239">
        <v>4617</v>
      </c>
      <c r="J77" s="239">
        <v>4802</v>
      </c>
      <c r="K77" s="900">
        <v>4943</v>
      </c>
      <c r="L77" s="315">
        <v>5151.5</v>
      </c>
      <c r="N77" s="757"/>
      <c r="O77" s="757"/>
    </row>
    <row r="78" spans="2:16" ht="21" customHeight="1" x14ac:dyDescent="0.25">
      <c r="B78" s="316" t="s">
        <v>327</v>
      </c>
      <c r="C78" s="178">
        <f t="shared" ref="C78" si="97">C71+C74</f>
        <v>64727.915385</v>
      </c>
      <c r="D78" s="178">
        <f t="shared" ref="D78" si="98">D71+D74</f>
        <v>66601.487840000002</v>
      </c>
      <c r="E78" s="177">
        <f t="shared" ref="E78" si="99">E71+E74</f>
        <v>67175.074342000007</v>
      </c>
      <c r="F78" s="178">
        <f t="shared" ref="F78:J78" si="100">F71+F74</f>
        <v>68877.655293999997</v>
      </c>
      <c r="G78" s="178">
        <f t="shared" si="100"/>
        <v>68627.697834000006</v>
      </c>
      <c r="H78" s="177">
        <f t="shared" si="100"/>
        <v>70184.434290000005</v>
      </c>
      <c r="I78" s="177">
        <f t="shared" si="100"/>
        <v>71549.00718700001</v>
      </c>
      <c r="J78" s="177">
        <f t="shared" si="100"/>
        <v>74292.860947999987</v>
      </c>
      <c r="K78" s="901">
        <f t="shared" ref="K78:L78" si="101">K71+K74</f>
        <v>73960.181988000011</v>
      </c>
      <c r="L78" s="216">
        <f t="shared" si="101"/>
        <v>76049.823298000003</v>
      </c>
    </row>
    <row r="79" spans="2:16" ht="11.25" customHeight="1" x14ac:dyDescent="0.25">
      <c r="B79" s="938"/>
      <c r="C79" s="938"/>
      <c r="D79" s="938"/>
      <c r="E79" s="938"/>
      <c r="F79" s="938"/>
      <c r="G79" s="938"/>
      <c r="H79" s="938"/>
      <c r="I79" s="938"/>
      <c r="J79" s="938"/>
      <c r="K79" s="938"/>
      <c r="L79" s="938"/>
    </row>
    <row r="80" spans="2:16" ht="21" customHeight="1" x14ac:dyDescent="0.25">
      <c r="B80" s="939" t="s">
        <v>610</v>
      </c>
      <c r="C80" s="940"/>
      <c r="D80" s="940"/>
      <c r="E80" s="940"/>
      <c r="F80" s="940"/>
      <c r="G80" s="940"/>
      <c r="H80" s="940"/>
      <c r="I80" s="940"/>
      <c r="J80" s="940"/>
      <c r="K80" s="940"/>
      <c r="L80" s="940"/>
    </row>
    <row r="81" spans="2:12" ht="21" customHeight="1" x14ac:dyDescent="0.25">
      <c r="B81" s="938" t="s">
        <v>414</v>
      </c>
      <c r="C81" s="938"/>
      <c r="D81" s="938"/>
      <c r="E81" s="938"/>
      <c r="F81" s="938"/>
      <c r="G81" s="938"/>
      <c r="H81" s="938"/>
      <c r="I81" s="938"/>
      <c r="J81" s="938"/>
      <c r="K81" s="938"/>
      <c r="L81" s="938"/>
    </row>
    <row r="82" spans="2:12" ht="21" customHeight="1" x14ac:dyDescent="0.25">
      <c r="B82" s="170" t="s">
        <v>468</v>
      </c>
      <c r="C82" s="170"/>
      <c r="D82" s="170"/>
      <c r="E82" s="170"/>
      <c r="F82" s="170"/>
      <c r="G82" s="170"/>
      <c r="H82" s="170"/>
      <c r="I82" s="170"/>
      <c r="J82" s="170"/>
      <c r="K82" s="170"/>
      <c r="L82" s="170"/>
    </row>
  </sheetData>
  <mergeCells count="5">
    <mergeCell ref="B5:L5"/>
    <mergeCell ref="B79:L79"/>
    <mergeCell ref="B56:L56"/>
    <mergeCell ref="B80:L80"/>
    <mergeCell ref="B81:L81"/>
  </mergeCells>
  <hyperlinks>
    <hyperlink ref="A14" location="'Piraeus BG'!W780" display="'Piraeus BG'!W780" xr:uid="{00000000-0004-0000-0300-000000000000}"/>
    <hyperlink ref="A10" location="'Piraeus BG'!V780" display="'Piraeus BG'!V780" xr:uid="{00000000-0004-0000-0300-000001000000}"/>
    <hyperlink ref="A23" location="'Piraeus BG'!W780" display="'Piraeus BG'!W780" xr:uid="{00000000-0004-0000-0300-000002000000}"/>
    <hyperlink ref="A19" location="'Piraeus BG'!V780" display="'Piraeus BG'!V780" xr:uid="{00000000-0004-0000-0300-000003000000}"/>
    <hyperlink ref="L2" location="'Cover '!A1" display="Back to Cover" xr:uid="{00000000-0004-0000-0300-000004000000}"/>
  </hyperlinks>
  <printOptions horizontalCentered="1" verticalCentered="1"/>
  <pageMargins left="0" right="0" top="0" bottom="0" header="0" footer="0"/>
  <pageSetup paperSize="8" scale="56" orientation="landscape" r:id="rId1"/>
  <headerFooter alignWithMargins="0"/>
  <ignoredErrors>
    <ignoredError sqref="C54:L54 C40:L40"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pageSetUpPr fitToPage="1"/>
  </sheetPr>
  <dimension ref="A1:Q62"/>
  <sheetViews>
    <sheetView showGridLines="0" view="pageBreakPreview" zoomScale="85" zoomScaleNormal="90" zoomScaleSheetLayoutView="85" workbookViewId="0">
      <pane xSplit="2" ySplit="9" topLeftCell="C10" activePane="bottomRight" state="frozen"/>
      <selection activeCell="M28" sqref="M28"/>
      <selection pane="topRight" activeCell="M28" sqref="M28"/>
      <selection pane="bottomLeft" activeCell="M28" sqref="M28"/>
      <selection pane="bottomRight" activeCell="B5" sqref="B5:L5"/>
    </sheetView>
  </sheetViews>
  <sheetFormatPr defaultColWidth="9.109375" defaultRowHeight="15.6" x14ac:dyDescent="0.25"/>
  <cols>
    <col min="1" max="1" width="2.44140625" style="6" customWidth="1"/>
    <col min="2" max="2" width="83" style="6" customWidth="1"/>
    <col min="3" max="12" width="15.88671875" style="6" customWidth="1"/>
    <col min="13" max="13" width="2.44140625" style="6" customWidth="1"/>
    <col min="14" max="16384" width="9.109375" style="6"/>
  </cols>
  <sheetData>
    <row r="1" spans="1:15" ht="15.75" customHeight="1" x14ac:dyDescent="0.25"/>
    <row r="2" spans="1:15" ht="15.75" customHeight="1" x14ac:dyDescent="0.25">
      <c r="C2" s="8"/>
      <c r="D2" s="8"/>
      <c r="E2" s="8"/>
      <c r="F2" s="8"/>
      <c r="G2" s="120"/>
      <c r="H2" s="120"/>
      <c r="I2" s="120"/>
      <c r="J2" s="120"/>
      <c r="K2" s="120"/>
      <c r="L2" s="119" t="s">
        <v>20</v>
      </c>
    </row>
    <row r="3" spans="1:15" ht="15.75" customHeight="1" x14ac:dyDescent="0.25"/>
    <row r="4" spans="1:15" ht="15.75" customHeight="1" x14ac:dyDescent="0.25"/>
    <row r="5" spans="1:15" s="17" customFormat="1" ht="27.6" x14ac:dyDescent="0.25">
      <c r="A5" s="16"/>
      <c r="B5" s="937" t="s">
        <v>45</v>
      </c>
      <c r="C5" s="941"/>
      <c r="D5" s="941"/>
      <c r="E5" s="941"/>
      <c r="F5" s="941"/>
      <c r="G5" s="941"/>
      <c r="H5" s="941"/>
      <c r="I5" s="941"/>
      <c r="J5" s="941"/>
      <c r="K5" s="941"/>
      <c r="L5" s="941"/>
    </row>
    <row r="6" spans="1:15" s="17" customFormat="1" ht="9" customHeight="1" x14ac:dyDescent="0.25">
      <c r="A6" s="16"/>
      <c r="B6" s="18"/>
    </row>
    <row r="7" spans="1:15" s="17" customFormat="1" ht="15.75" customHeight="1" x14ac:dyDescent="0.25">
      <c r="A7" s="18"/>
      <c r="B7" s="21"/>
      <c r="O7" s="54"/>
    </row>
    <row r="8" spans="1:15" ht="11.4" customHeight="1" x14ac:dyDescent="0.25"/>
    <row r="9" spans="1:15" s="7" customFormat="1" ht="40.200000000000003" customHeight="1" x14ac:dyDescent="0.25">
      <c r="B9" s="351" t="s">
        <v>0</v>
      </c>
      <c r="C9" s="352" t="s">
        <v>181</v>
      </c>
      <c r="D9" s="352" t="s">
        <v>184</v>
      </c>
      <c r="E9" s="352" t="s">
        <v>192</v>
      </c>
      <c r="F9" s="352" t="s">
        <v>310</v>
      </c>
      <c r="G9" s="352" t="s">
        <v>318</v>
      </c>
      <c r="H9" s="352" t="s">
        <v>416</v>
      </c>
      <c r="I9" s="352" t="s">
        <v>470</v>
      </c>
      <c r="J9" s="352" t="s">
        <v>501</v>
      </c>
      <c r="K9" s="353" t="s">
        <v>561</v>
      </c>
      <c r="L9" s="354" t="s">
        <v>593</v>
      </c>
    </row>
    <row r="10" spans="1:15" s="9" customFormat="1" ht="24.75" customHeight="1" x14ac:dyDescent="0.25">
      <c r="B10" s="148" t="s">
        <v>1</v>
      </c>
      <c r="C10" s="231">
        <v>446.86599999999999</v>
      </c>
      <c r="D10" s="231">
        <v>487.8</v>
      </c>
      <c r="E10" s="239">
        <v>531.351</v>
      </c>
      <c r="F10" s="231">
        <v>536.64499999999998</v>
      </c>
      <c r="G10" s="231">
        <v>517.62899999999991</v>
      </c>
      <c r="H10" s="239">
        <v>527.55799999999999</v>
      </c>
      <c r="I10" s="239">
        <v>529.50533123000014</v>
      </c>
      <c r="J10" s="239">
        <v>513.51499999999999</v>
      </c>
      <c r="K10" s="900">
        <v>480.952</v>
      </c>
      <c r="L10" s="315">
        <v>473.56599999999997</v>
      </c>
    </row>
    <row r="11" spans="1:15" s="9" customFormat="1" ht="24.75" customHeight="1" x14ac:dyDescent="0.25">
      <c r="B11" s="148" t="s">
        <v>419</v>
      </c>
      <c r="C11" s="231">
        <v>104.691</v>
      </c>
      <c r="D11" s="231">
        <v>120.48399999999999</v>
      </c>
      <c r="E11" s="239">
        <v>120.30699999999999</v>
      </c>
      <c r="F11" s="231">
        <v>122.61599999999999</v>
      </c>
      <c r="G11" s="231">
        <v>125.37299999999999</v>
      </c>
      <c r="H11" s="239">
        <v>159.35300000000001</v>
      </c>
      <c r="I11" s="239">
        <v>134.57963081</v>
      </c>
      <c r="J11" s="239">
        <v>141.94399999999999</v>
      </c>
      <c r="K11" s="900">
        <v>137.21099999999998</v>
      </c>
      <c r="L11" s="315">
        <v>142.5</v>
      </c>
    </row>
    <row r="12" spans="1:15" s="9" customFormat="1" ht="24.75" customHeight="1" x14ac:dyDescent="0.25">
      <c r="B12" s="148" t="s">
        <v>315</v>
      </c>
      <c r="C12" s="231">
        <v>16.956</v>
      </c>
      <c r="D12" s="231">
        <v>20.922000000000001</v>
      </c>
      <c r="E12" s="239">
        <v>19.670000000000002</v>
      </c>
      <c r="F12" s="231">
        <v>20.99</v>
      </c>
      <c r="G12" s="231">
        <v>19.946999999999999</v>
      </c>
      <c r="H12" s="239">
        <v>19.885999999999999</v>
      </c>
      <c r="I12" s="239">
        <v>21.317130179999999</v>
      </c>
      <c r="J12" s="239">
        <v>25.41</v>
      </c>
      <c r="K12" s="900">
        <v>22.512</v>
      </c>
      <c r="L12" s="315">
        <v>23.032</v>
      </c>
    </row>
    <row r="13" spans="1:15" s="9" customFormat="1" ht="24.75" customHeight="1" x14ac:dyDescent="0.25">
      <c r="B13" s="384" t="s">
        <v>242</v>
      </c>
      <c r="C13" s="385">
        <f t="shared" ref="C13:E13" si="0">C11+C10+C12</f>
        <v>568.51300000000003</v>
      </c>
      <c r="D13" s="385">
        <f t="shared" si="0"/>
        <v>629.20600000000002</v>
      </c>
      <c r="E13" s="385">
        <f t="shared" si="0"/>
        <v>671.32799999999997</v>
      </c>
      <c r="F13" s="385">
        <f t="shared" ref="F13" si="1">F11+F10+F12</f>
        <v>680.25099999999998</v>
      </c>
      <c r="G13" s="385">
        <f t="shared" ref="G13" si="2">G11+G10+G12</f>
        <v>662.94899999999996</v>
      </c>
      <c r="H13" s="385">
        <f t="shared" ref="H13" si="3">H11+H10+H12</f>
        <v>706.79700000000003</v>
      </c>
      <c r="I13" s="385">
        <f t="shared" ref="I13" si="4">I11+I10+I12</f>
        <v>685.40209222000021</v>
      </c>
      <c r="J13" s="385">
        <f t="shared" ref="J13" si="5">J11+J10+J12</f>
        <v>680.86899999999991</v>
      </c>
      <c r="K13" s="386">
        <f t="shared" ref="K13:L13" si="6">K11+K10+K12</f>
        <v>640.67499999999995</v>
      </c>
      <c r="L13" s="387">
        <f t="shared" si="6"/>
        <v>639.09800000000007</v>
      </c>
    </row>
    <row r="14" spans="1:15" s="9" customFormat="1" ht="24.75" customHeight="1" x14ac:dyDescent="0.25">
      <c r="B14" s="148" t="s">
        <v>420</v>
      </c>
      <c r="C14" s="239">
        <v>9.7540000000000013</v>
      </c>
      <c r="D14" s="239">
        <v>29.241999999999997</v>
      </c>
      <c r="E14" s="239">
        <v>-7.8949999999999996</v>
      </c>
      <c r="F14" s="231">
        <v>31.995000000000001</v>
      </c>
      <c r="G14" s="231">
        <v>-4.4270000000000005</v>
      </c>
      <c r="H14" s="239">
        <v>7.47</v>
      </c>
      <c r="I14" s="239">
        <v>33.253386879999915</v>
      </c>
      <c r="J14" s="239">
        <v>28.351999999999997</v>
      </c>
      <c r="K14" s="900">
        <v>18.872999999999998</v>
      </c>
      <c r="L14" s="315">
        <v>47.170999999999999</v>
      </c>
    </row>
    <row r="15" spans="1:15" s="9" customFormat="1" ht="24.75" customHeight="1" x14ac:dyDescent="0.25">
      <c r="B15" s="148" t="s">
        <v>298</v>
      </c>
      <c r="C15" s="231">
        <v>-1.48</v>
      </c>
      <c r="D15" s="231">
        <v>3.5300000000000002</v>
      </c>
      <c r="E15" s="239">
        <v>-10.244999999999999</v>
      </c>
      <c r="F15" s="231">
        <v>9.7259999999999991</v>
      </c>
      <c r="G15" s="231">
        <v>-66.650999999999996</v>
      </c>
      <c r="H15" s="239">
        <v>11.755000000000001</v>
      </c>
      <c r="I15" s="239">
        <v>-9.9486770399999891</v>
      </c>
      <c r="J15" s="239">
        <v>20.843</v>
      </c>
      <c r="K15" s="900">
        <v>-10.088000000000001</v>
      </c>
      <c r="L15" s="315">
        <v>0.70700000000000007</v>
      </c>
    </row>
    <row r="16" spans="1:15" s="9" customFormat="1" ht="24.75" customHeight="1" x14ac:dyDescent="0.25">
      <c r="B16" s="384" t="s">
        <v>243</v>
      </c>
      <c r="C16" s="385">
        <f t="shared" ref="C16" si="7">C15+C10+C11+C12+C14</f>
        <v>576.78700000000003</v>
      </c>
      <c r="D16" s="385">
        <f t="shared" ref="D16:H16" si="8">D15+D10+D11+D12+D14</f>
        <v>661.97799999999995</v>
      </c>
      <c r="E16" s="385">
        <f t="shared" si="8"/>
        <v>653.18799999999999</v>
      </c>
      <c r="F16" s="385">
        <f t="shared" si="8"/>
        <v>721.97199999999998</v>
      </c>
      <c r="G16" s="385">
        <f t="shared" si="8"/>
        <v>591.87099999999987</v>
      </c>
      <c r="H16" s="385">
        <f t="shared" si="8"/>
        <v>726.02199999999993</v>
      </c>
      <c r="I16" s="385">
        <f t="shared" ref="I16" si="9">I15+I10+I11+I12+I14</f>
        <v>708.70680206000009</v>
      </c>
      <c r="J16" s="385">
        <f t="shared" ref="J16" si="10">J15+J10+J11+J12+J14</f>
        <v>730.06399999999985</v>
      </c>
      <c r="K16" s="386">
        <f t="shared" ref="K16:L16" si="11">K15+K10+K11+K12+K14</f>
        <v>649.46</v>
      </c>
      <c r="L16" s="387">
        <f t="shared" si="11"/>
        <v>686.976</v>
      </c>
      <c r="O16" s="40"/>
    </row>
    <row r="17" spans="2:17" s="9" customFormat="1" ht="24.75" customHeight="1" x14ac:dyDescent="0.25">
      <c r="B17" s="388" t="s">
        <v>515</v>
      </c>
      <c r="C17" s="389">
        <v>0</v>
      </c>
      <c r="D17" s="389">
        <v>0</v>
      </c>
      <c r="E17" s="389">
        <v>0</v>
      </c>
      <c r="F17" s="389">
        <v>0</v>
      </c>
      <c r="G17" s="389">
        <v>0</v>
      </c>
      <c r="H17" s="389">
        <v>11.949892</v>
      </c>
      <c r="I17" s="389">
        <v>0</v>
      </c>
      <c r="J17" s="389">
        <v>0</v>
      </c>
      <c r="K17" s="390">
        <v>0</v>
      </c>
      <c r="L17" s="391">
        <v>0</v>
      </c>
      <c r="O17" s="40"/>
    </row>
    <row r="18" spans="2:17" s="9" customFormat="1" ht="24.75" customHeight="1" x14ac:dyDescent="0.25">
      <c r="B18" s="785" t="s">
        <v>516</v>
      </c>
      <c r="C18" s="786">
        <v>0</v>
      </c>
      <c r="D18" s="786">
        <v>0</v>
      </c>
      <c r="E18" s="786">
        <v>0</v>
      </c>
      <c r="F18" s="786">
        <v>0</v>
      </c>
      <c r="G18" s="786">
        <v>-43.292000000000002</v>
      </c>
      <c r="H18" s="786">
        <v>0</v>
      </c>
      <c r="I18" s="786">
        <v>0</v>
      </c>
      <c r="J18" s="786">
        <v>0</v>
      </c>
      <c r="K18" s="787">
        <v>0</v>
      </c>
      <c r="L18" s="788">
        <v>0</v>
      </c>
    </row>
    <row r="19" spans="2:17" s="9" customFormat="1" ht="24.75" customHeight="1" x14ac:dyDescent="0.25">
      <c r="B19" s="148" t="s">
        <v>2</v>
      </c>
      <c r="C19" s="231">
        <v>96.718999999999994</v>
      </c>
      <c r="D19" s="231">
        <v>96.57</v>
      </c>
      <c r="E19" s="239">
        <v>80.358000000000004</v>
      </c>
      <c r="F19" s="231">
        <v>168.495</v>
      </c>
      <c r="G19" s="231">
        <v>100.86799999999999</v>
      </c>
      <c r="H19" s="239">
        <v>100.80200000000001</v>
      </c>
      <c r="I19" s="239">
        <v>101.65485525</v>
      </c>
      <c r="J19" s="239">
        <v>151.71899999999999</v>
      </c>
      <c r="K19" s="900">
        <v>99.093000000000004</v>
      </c>
      <c r="L19" s="315">
        <v>103.46299999999999</v>
      </c>
    </row>
    <row r="20" spans="2:17" s="9" customFormat="1" ht="24.75" customHeight="1" x14ac:dyDescent="0.25">
      <c r="B20" s="148" t="s">
        <v>421</v>
      </c>
      <c r="C20" s="231">
        <v>83.156999999999996</v>
      </c>
      <c r="D20" s="231">
        <v>78.429000000000002</v>
      </c>
      <c r="E20" s="239">
        <v>89.208000000000013</v>
      </c>
      <c r="F20" s="231">
        <v>64.234999999999999</v>
      </c>
      <c r="G20" s="231">
        <v>72.945999999999998</v>
      </c>
      <c r="H20" s="239">
        <v>73.254999999999995</v>
      </c>
      <c r="I20" s="239">
        <v>75.398843909999997</v>
      </c>
      <c r="J20" s="239">
        <v>81.564000000000007</v>
      </c>
      <c r="K20" s="900">
        <v>93.73</v>
      </c>
      <c r="L20" s="315">
        <v>76.032000000000011</v>
      </c>
    </row>
    <row r="21" spans="2:17" ht="24.75" customHeight="1" x14ac:dyDescent="0.25">
      <c r="B21" s="148" t="s">
        <v>8</v>
      </c>
      <c r="C21" s="231">
        <v>26.146999999999998</v>
      </c>
      <c r="D21" s="231">
        <v>26.212</v>
      </c>
      <c r="E21" s="239">
        <v>26.484999999999999</v>
      </c>
      <c r="F21" s="231">
        <v>27.077999999999999</v>
      </c>
      <c r="G21" s="231">
        <v>28.614999999999998</v>
      </c>
      <c r="H21" s="239">
        <v>29.193999999999999</v>
      </c>
      <c r="I21" s="239">
        <v>30.551236739999993</v>
      </c>
      <c r="J21" s="239">
        <v>30.558</v>
      </c>
      <c r="K21" s="900">
        <v>31.151</v>
      </c>
      <c r="L21" s="315">
        <v>32.353000000000002</v>
      </c>
    </row>
    <row r="22" spans="2:17" s="9" customFormat="1" ht="24.75" customHeight="1" x14ac:dyDescent="0.25">
      <c r="B22" s="384" t="s">
        <v>244</v>
      </c>
      <c r="C22" s="392">
        <f t="shared" ref="C22" si="12">C21+C20+C19</f>
        <v>206.023</v>
      </c>
      <c r="D22" s="392">
        <f t="shared" ref="D22" si="13">D21+D20+D19</f>
        <v>201.21100000000001</v>
      </c>
      <c r="E22" s="392">
        <f t="shared" ref="E22:I22" si="14">E21+E20+E19</f>
        <v>196.05100000000002</v>
      </c>
      <c r="F22" s="392">
        <f t="shared" si="14"/>
        <v>259.80799999999999</v>
      </c>
      <c r="G22" s="392">
        <f t="shared" si="14"/>
        <v>202.42899999999997</v>
      </c>
      <c r="H22" s="392">
        <f t="shared" si="14"/>
        <v>203.251</v>
      </c>
      <c r="I22" s="392">
        <f t="shared" si="14"/>
        <v>207.60493589999999</v>
      </c>
      <c r="J22" s="392">
        <f t="shared" ref="J22" si="15">J21+J20+J19</f>
        <v>263.84100000000001</v>
      </c>
      <c r="K22" s="393">
        <f t="shared" ref="K22:L22" si="16">K21+K20+K19</f>
        <v>223.97399999999999</v>
      </c>
      <c r="L22" s="394">
        <f t="shared" si="16"/>
        <v>211.84800000000001</v>
      </c>
      <c r="N22" s="39"/>
    </row>
    <row r="23" spans="2:17" s="9" customFormat="1" ht="24.75" customHeight="1" x14ac:dyDescent="0.25">
      <c r="B23" s="395" t="s">
        <v>155</v>
      </c>
      <c r="C23" s="396">
        <v>3.1720000000000002</v>
      </c>
      <c r="D23" s="396">
        <v>2.1745070000000002</v>
      </c>
      <c r="E23" s="396">
        <v>1.5662459999999996</v>
      </c>
      <c r="F23" s="396">
        <v>63.649000000000001</v>
      </c>
      <c r="G23" s="396">
        <v>9.6033038800000003</v>
      </c>
      <c r="H23" s="396">
        <v>4.2904095</v>
      </c>
      <c r="I23" s="396">
        <v>1.837108</v>
      </c>
      <c r="J23" s="396">
        <v>38.653692239999998</v>
      </c>
      <c r="K23" s="397">
        <v>0</v>
      </c>
      <c r="L23" s="398">
        <v>0</v>
      </c>
    </row>
    <row r="24" spans="2:17" s="9" customFormat="1" ht="11.25" customHeight="1" x14ac:dyDescent="0.4">
      <c r="B24" s="336"/>
      <c r="C24" s="330"/>
      <c r="D24" s="330"/>
      <c r="E24" s="330"/>
      <c r="F24" s="330"/>
      <c r="G24" s="330"/>
      <c r="H24" s="330"/>
      <c r="I24" s="330"/>
      <c r="J24" s="330"/>
      <c r="K24" s="342"/>
      <c r="L24" s="337"/>
    </row>
    <row r="25" spans="2:17" s="9" customFormat="1" ht="24.75" customHeight="1" x14ac:dyDescent="0.25">
      <c r="B25" s="355" t="s">
        <v>245</v>
      </c>
      <c r="C25" s="356">
        <v>370.76400000000007</v>
      </c>
      <c r="D25" s="356">
        <v>460.76699999999994</v>
      </c>
      <c r="E25" s="356">
        <v>457.13700000000006</v>
      </c>
      <c r="F25" s="356">
        <v>462.16399999999999</v>
      </c>
      <c r="G25" s="356">
        <v>389.44199999999989</v>
      </c>
      <c r="H25" s="356">
        <v>522.77100000000007</v>
      </c>
      <c r="I25" s="356">
        <v>501.1018661600001</v>
      </c>
      <c r="J25" s="356">
        <v>466.22299999999996</v>
      </c>
      <c r="K25" s="357">
        <v>425.48599999999999</v>
      </c>
      <c r="L25" s="358">
        <v>475.1280000000001</v>
      </c>
    </row>
    <row r="26" spans="2:17" s="9" customFormat="1" ht="13.5" customHeight="1" x14ac:dyDescent="0.4">
      <c r="B26" s="344"/>
      <c r="C26" s="348"/>
      <c r="D26" s="348"/>
      <c r="E26" s="348"/>
      <c r="F26" s="348"/>
      <c r="G26" s="348"/>
      <c r="H26" s="348"/>
      <c r="I26" s="348"/>
      <c r="J26" s="348"/>
      <c r="K26" s="349"/>
      <c r="L26" s="350"/>
    </row>
    <row r="27" spans="2:17" s="9" customFormat="1" ht="24.75" customHeight="1" x14ac:dyDescent="0.25">
      <c r="B27" s="317" t="s">
        <v>3</v>
      </c>
      <c r="C27" s="231">
        <v>-10.638999999999999</v>
      </c>
      <c r="D27" s="231">
        <v>-11.848000000000001</v>
      </c>
      <c r="E27" s="239">
        <v>15.715</v>
      </c>
      <c r="F27" s="231">
        <v>-8.4480000000000004</v>
      </c>
      <c r="G27" s="231">
        <v>22.515000000000001</v>
      </c>
      <c r="H27" s="239">
        <v>-12.048</v>
      </c>
      <c r="I27" s="239">
        <v>-4.3310000000000004</v>
      </c>
      <c r="J27" s="239">
        <v>-1.2849999999999999</v>
      </c>
      <c r="K27" s="900">
        <v>-5.407</v>
      </c>
      <c r="L27" s="315">
        <v>-10.372</v>
      </c>
      <c r="Q27" s="39"/>
    </row>
    <row r="28" spans="2:17" s="61" customFormat="1" ht="12" customHeight="1" x14ac:dyDescent="0.4">
      <c r="B28" s="344"/>
      <c r="C28" s="345"/>
      <c r="D28" s="345"/>
      <c r="E28" s="345"/>
      <c r="F28" s="345"/>
      <c r="G28" s="345"/>
      <c r="H28" s="345"/>
      <c r="I28" s="345"/>
      <c r="J28" s="345"/>
      <c r="K28" s="346"/>
      <c r="L28" s="347"/>
    </row>
    <row r="29" spans="2:17" s="19" customFormat="1" ht="24.75" customHeight="1" x14ac:dyDescent="0.25">
      <c r="B29" s="148" t="s">
        <v>29</v>
      </c>
      <c r="C29" s="231">
        <v>95.394000000000005</v>
      </c>
      <c r="D29" s="231">
        <v>283.02799999999996</v>
      </c>
      <c r="E29" s="239">
        <v>75.676999999999992</v>
      </c>
      <c r="F29" s="231">
        <v>104.504</v>
      </c>
      <c r="G29" s="231">
        <v>58.474000000000004</v>
      </c>
      <c r="H29" s="239">
        <v>43.260999999999996</v>
      </c>
      <c r="I29" s="239">
        <v>51.714784479999999</v>
      </c>
      <c r="J29" s="239">
        <v>127.18400000000001</v>
      </c>
      <c r="K29" s="900">
        <v>35.253</v>
      </c>
      <c r="L29" s="315">
        <v>93.966999999999999</v>
      </c>
    </row>
    <row r="30" spans="2:17" s="19" customFormat="1" ht="24.75" customHeight="1" x14ac:dyDescent="0.25">
      <c r="B30" s="338" t="s">
        <v>631</v>
      </c>
      <c r="C30" s="331">
        <v>35.677000000000007</v>
      </c>
      <c r="D30" s="331">
        <v>68.966475719999991</v>
      </c>
      <c r="E30" s="339">
        <v>47.152999999999992</v>
      </c>
      <c r="F30" s="331">
        <v>24.976000000000006</v>
      </c>
      <c r="G30" s="331">
        <v>15.423</v>
      </c>
      <c r="H30" s="339">
        <v>19.857999999999997</v>
      </c>
      <c r="I30" s="339">
        <v>31.755784480000003</v>
      </c>
      <c r="J30" s="339">
        <v>15.779000000000012</v>
      </c>
      <c r="K30" s="902">
        <v>14.501000000000001</v>
      </c>
      <c r="L30" s="383">
        <v>51.777000000000001</v>
      </c>
      <c r="P30" s="41"/>
    </row>
    <row r="31" spans="2:17" s="19" customFormat="1" ht="24.75" customHeight="1" x14ac:dyDescent="0.25">
      <c r="B31" s="338" t="s">
        <v>422</v>
      </c>
      <c r="C31" s="331">
        <v>20.760999999999999</v>
      </c>
      <c r="D31" s="331">
        <v>180.79911400999998</v>
      </c>
      <c r="E31" s="339">
        <v>0</v>
      </c>
      <c r="F31" s="331">
        <v>51.51</v>
      </c>
      <c r="G31" s="331">
        <v>12.14</v>
      </c>
      <c r="H31" s="339">
        <v>0</v>
      </c>
      <c r="I31" s="339">
        <v>0</v>
      </c>
      <c r="J31" s="339">
        <v>86.33</v>
      </c>
      <c r="K31" s="902">
        <v>0</v>
      </c>
      <c r="L31" s="383">
        <v>23</v>
      </c>
      <c r="O31" s="58"/>
    </row>
    <row r="32" spans="2:17" s="19" customFormat="1" ht="24.75" customHeight="1" x14ac:dyDescent="0.25">
      <c r="B32" s="338" t="s">
        <v>321</v>
      </c>
      <c r="C32" s="331">
        <v>26.088285000000003</v>
      </c>
      <c r="D32" s="331">
        <v>20.325688550000002</v>
      </c>
      <c r="E32" s="339">
        <v>17.27913315</v>
      </c>
      <c r="F32" s="331">
        <v>16.852737560000001</v>
      </c>
      <c r="G32" s="331">
        <v>20.556513000000002</v>
      </c>
      <c r="H32" s="339">
        <v>14.782999999999999</v>
      </c>
      <c r="I32" s="339">
        <v>11.299293</v>
      </c>
      <c r="J32" s="339">
        <v>15.120611999999999</v>
      </c>
      <c r="K32" s="902">
        <v>11.106432999999999</v>
      </c>
      <c r="L32" s="383">
        <v>10.15638</v>
      </c>
      <c r="O32" s="58"/>
    </row>
    <row r="33" spans="2:17" s="19" customFormat="1" ht="24.75" customHeight="1" x14ac:dyDescent="0.25">
      <c r="B33" s="338" t="s">
        <v>322</v>
      </c>
      <c r="C33" s="331">
        <v>12.867715</v>
      </c>
      <c r="D33" s="331">
        <v>12.93672172</v>
      </c>
      <c r="E33" s="339">
        <v>11.244866849999999</v>
      </c>
      <c r="F33" s="331">
        <v>11.165262439999999</v>
      </c>
      <c r="G33" s="331">
        <v>10.354487000000001</v>
      </c>
      <c r="H33" s="339">
        <v>8.6199999999999992</v>
      </c>
      <c r="I33" s="339">
        <v>8.6597069999999992</v>
      </c>
      <c r="J33" s="339">
        <v>9.9543879999999998</v>
      </c>
      <c r="K33" s="902">
        <v>9.6455669999999998</v>
      </c>
      <c r="L33" s="383">
        <v>9.0336200000000009</v>
      </c>
    </row>
    <row r="34" spans="2:17" s="19" customFormat="1" ht="24.75" customHeight="1" x14ac:dyDescent="0.25">
      <c r="B34" s="148" t="s">
        <v>423</v>
      </c>
      <c r="C34" s="231">
        <v>10.359000000000002</v>
      </c>
      <c r="D34" s="231">
        <v>32.141000000000005</v>
      </c>
      <c r="E34" s="239">
        <v>17.818999999999996</v>
      </c>
      <c r="F34" s="231">
        <v>38.191000000000003</v>
      </c>
      <c r="G34" s="231">
        <v>28.539000000000001</v>
      </c>
      <c r="H34" s="239">
        <v>15.302</v>
      </c>
      <c r="I34" s="239">
        <v>12.436441019999997</v>
      </c>
      <c r="J34" s="239">
        <v>111.55799999999999</v>
      </c>
      <c r="K34" s="900">
        <v>2.3899999999999997</v>
      </c>
      <c r="L34" s="315">
        <v>-5.7999999999999968E-2</v>
      </c>
    </row>
    <row r="35" spans="2:17" s="19" customFormat="1" ht="24.75" customHeight="1" x14ac:dyDescent="0.25">
      <c r="B35" s="338" t="s">
        <v>513</v>
      </c>
      <c r="C35" s="331">
        <v>0</v>
      </c>
      <c r="D35" s="331">
        <v>0</v>
      </c>
      <c r="E35" s="339">
        <v>0</v>
      </c>
      <c r="F35" s="331">
        <v>0</v>
      </c>
      <c r="G35" s="331">
        <v>0</v>
      </c>
      <c r="H35" s="339">
        <v>0</v>
      </c>
      <c r="I35" s="339">
        <v>0</v>
      </c>
      <c r="J35" s="339">
        <v>88.600999999999999</v>
      </c>
      <c r="K35" s="902">
        <v>0</v>
      </c>
      <c r="L35" s="383">
        <v>0</v>
      </c>
    </row>
    <row r="36" spans="2:17" s="19" customFormat="1" ht="24.75" customHeight="1" x14ac:dyDescent="0.25">
      <c r="B36" s="384" t="s">
        <v>4</v>
      </c>
      <c r="C36" s="392">
        <v>254.37200000000004</v>
      </c>
      <c r="D36" s="392">
        <v>133.74999999999994</v>
      </c>
      <c r="E36" s="392">
        <v>379.35600000000005</v>
      </c>
      <c r="F36" s="392">
        <v>311.02099999999996</v>
      </c>
      <c r="G36" s="392">
        <v>324.9439999999999</v>
      </c>
      <c r="H36" s="392">
        <v>452.16000000000008</v>
      </c>
      <c r="I36" s="392">
        <v>432.61964066000007</v>
      </c>
      <c r="J36" s="392">
        <v>226.19599999999991</v>
      </c>
      <c r="K36" s="393">
        <v>382.43600000000004</v>
      </c>
      <c r="L36" s="394">
        <v>370.84700000000009</v>
      </c>
      <c r="O36" s="58"/>
      <c r="Q36" s="58"/>
    </row>
    <row r="37" spans="2:17" s="62" customFormat="1" ht="24.75" customHeight="1" x14ac:dyDescent="0.25">
      <c r="B37" s="148" t="s">
        <v>7</v>
      </c>
      <c r="C37" s="231">
        <v>75.64</v>
      </c>
      <c r="D37" s="231">
        <v>14.627000000000001</v>
      </c>
      <c r="E37" s="239">
        <v>102.38800000000001</v>
      </c>
      <c r="F37" s="231">
        <v>99.454999999999998</v>
      </c>
      <c r="G37" s="231">
        <v>91.998000000000005</v>
      </c>
      <c r="H37" s="239">
        <v>120.983</v>
      </c>
      <c r="I37" s="239">
        <v>114.39580782999995</v>
      </c>
      <c r="J37" s="239">
        <v>42.829000000000001</v>
      </c>
      <c r="K37" s="900">
        <v>100.398</v>
      </c>
      <c r="L37" s="315">
        <v>96.962000000000003</v>
      </c>
      <c r="Q37" s="85"/>
    </row>
    <row r="38" spans="2:17" s="62" customFormat="1" ht="24.75" customHeight="1" x14ac:dyDescent="0.25">
      <c r="B38" s="399" t="s">
        <v>424</v>
      </c>
      <c r="C38" s="400">
        <v>75.64</v>
      </c>
      <c r="D38" s="400">
        <v>79.180905252499997</v>
      </c>
      <c r="E38" s="400">
        <v>102.38800000000001</v>
      </c>
      <c r="F38" s="400">
        <v>99.454999999999998</v>
      </c>
      <c r="G38" s="400">
        <v>110.8582381252</v>
      </c>
      <c r="H38" s="400">
        <v>118.76175007500001</v>
      </c>
      <c r="I38" s="400">
        <v>114.92856914999996</v>
      </c>
      <c r="J38" s="400">
        <v>104.7685607496</v>
      </c>
      <c r="K38" s="401">
        <v>100.398</v>
      </c>
      <c r="L38" s="402">
        <v>103.63200000000001</v>
      </c>
    </row>
    <row r="39" spans="2:17" s="62" customFormat="1" ht="24.75" customHeight="1" x14ac:dyDescent="0.25">
      <c r="B39" s="340" t="s">
        <v>246</v>
      </c>
      <c r="C39" s="231">
        <v>-1.0289999999999999</v>
      </c>
      <c r="D39" s="231">
        <v>-0.56000000000000005</v>
      </c>
      <c r="E39" s="239">
        <v>-0.41099999999999998</v>
      </c>
      <c r="F39" s="231">
        <v>0.32400000000000001</v>
      </c>
      <c r="G39" s="231">
        <v>-0.186</v>
      </c>
      <c r="H39" s="239">
        <v>1.17</v>
      </c>
      <c r="I39" s="239">
        <v>-0.1746048999999999</v>
      </c>
      <c r="J39" s="239">
        <v>-0.97</v>
      </c>
      <c r="K39" s="900">
        <v>-1.6850000000000001</v>
      </c>
      <c r="L39" s="315">
        <v>-1.621</v>
      </c>
    </row>
    <row r="40" spans="2:17" ht="24.75" customHeight="1" x14ac:dyDescent="0.25">
      <c r="B40" s="359" t="s">
        <v>247</v>
      </c>
      <c r="C40" s="360">
        <v>179.76100000000002</v>
      </c>
      <c r="D40" s="360">
        <v>119.68299999999995</v>
      </c>
      <c r="E40" s="360">
        <v>277.37900000000008</v>
      </c>
      <c r="F40" s="360">
        <v>211.24199999999996</v>
      </c>
      <c r="G40" s="360">
        <v>233.13199999999992</v>
      </c>
      <c r="H40" s="360">
        <v>330.00700000000006</v>
      </c>
      <c r="I40" s="360">
        <v>318.39843773000013</v>
      </c>
      <c r="J40" s="360">
        <v>184.3369999999999</v>
      </c>
      <c r="K40" s="361">
        <v>283.72300000000001</v>
      </c>
      <c r="L40" s="362">
        <v>275.50600000000009</v>
      </c>
    </row>
    <row r="41" spans="2:17" ht="24.75" customHeight="1" x14ac:dyDescent="0.25">
      <c r="B41" s="363" t="s">
        <v>158</v>
      </c>
      <c r="C41" s="364">
        <f>+(C40-52.5/4)/1249.995345</f>
        <v>0.13330929644381997</v>
      </c>
      <c r="D41" s="364">
        <f>+(D40-52.5/4)/1249.341331</f>
        <v>8.5291343010887671E-2</v>
      </c>
      <c r="E41" s="364">
        <f>+(E40-52.5/4)/1243.96483</f>
        <v>0.21242883530718476</v>
      </c>
      <c r="F41" s="364">
        <f>+(F40-52.5/4)/1245.122198</f>
        <v>0.15911450323368179</v>
      </c>
      <c r="G41" s="364">
        <f>+(G40-52.5/4)/1245.893686</f>
        <v>0.17658569304283314</v>
      </c>
      <c r="H41" s="364">
        <f>+(H40-52.5/4)/1245.212023</f>
        <v>0.25448035687654136</v>
      </c>
      <c r="I41" s="364">
        <f>+(I40-52.5/4)/1246.622609</f>
        <v>0.24488039565950157</v>
      </c>
      <c r="J41" s="364">
        <f>+(J40-52.5/4)/1246.037681</f>
        <v>0.13740515444331888</v>
      </c>
      <c r="K41" s="365">
        <f>+(K40-52.5/4)/1247.448117</f>
        <v>0.21692124611223412</v>
      </c>
      <c r="L41" s="366">
        <f>+(L40-52.5/4)/1247.575412</f>
        <v>0.21031273739146128</v>
      </c>
    </row>
    <row r="42" spans="2:17" ht="24.75" customHeight="1" x14ac:dyDescent="0.25">
      <c r="B42" s="403" t="s">
        <v>248</v>
      </c>
      <c r="C42" s="404">
        <v>0</v>
      </c>
      <c r="D42" s="404">
        <v>0</v>
      </c>
      <c r="E42" s="404">
        <v>0</v>
      </c>
      <c r="F42" s="404">
        <v>0</v>
      </c>
      <c r="G42" s="404">
        <v>0</v>
      </c>
      <c r="H42" s="404">
        <v>0</v>
      </c>
      <c r="I42" s="404">
        <v>0</v>
      </c>
      <c r="J42" s="404">
        <v>0</v>
      </c>
      <c r="K42" s="405">
        <v>0</v>
      </c>
      <c r="L42" s="406">
        <v>0</v>
      </c>
    </row>
    <row r="43" spans="2:17" ht="24.75" customHeight="1" x14ac:dyDescent="0.25">
      <c r="B43" s="407" t="s">
        <v>249</v>
      </c>
      <c r="C43" s="408">
        <v>0</v>
      </c>
      <c r="D43" s="408">
        <v>0</v>
      </c>
      <c r="E43" s="408">
        <v>0</v>
      </c>
      <c r="F43" s="408">
        <v>0</v>
      </c>
      <c r="G43" s="408">
        <v>0</v>
      </c>
      <c r="H43" s="408">
        <v>0</v>
      </c>
      <c r="I43" s="408">
        <v>0</v>
      </c>
      <c r="J43" s="408">
        <v>0</v>
      </c>
      <c r="K43" s="409">
        <v>0</v>
      </c>
      <c r="L43" s="410">
        <v>0</v>
      </c>
    </row>
    <row r="44" spans="2:17" ht="11.25" customHeight="1" x14ac:dyDescent="0.25">
      <c r="B44" s="314"/>
      <c r="C44" s="271"/>
      <c r="D44" s="271"/>
      <c r="E44" s="271"/>
      <c r="F44" s="271"/>
      <c r="G44" s="271"/>
      <c r="H44" s="271"/>
      <c r="I44" s="271"/>
      <c r="J44" s="271"/>
      <c r="K44" s="343"/>
      <c r="L44" s="341"/>
    </row>
    <row r="45" spans="2:17" ht="27" customHeight="1" x14ac:dyDescent="0.25">
      <c r="B45" s="367" t="s">
        <v>222</v>
      </c>
      <c r="C45" s="368">
        <f>+C40+C31+C23-C15-C17-C14</f>
        <v>195.42000000000002</v>
      </c>
      <c r="D45" s="368">
        <f t="shared" ref="D45:I45" si="17">+D40+D31+D23-D15-D17-D38+D37-D14</f>
        <v>205.33071575749997</v>
      </c>
      <c r="E45" s="368">
        <f t="shared" si="17"/>
        <v>297.08524600000004</v>
      </c>
      <c r="F45" s="368">
        <f t="shared" si="17"/>
        <v>284.67999999999995</v>
      </c>
      <c r="G45" s="368">
        <f t="shared" si="17"/>
        <v>307.09306575479997</v>
      </c>
      <c r="H45" s="368">
        <f t="shared" si="17"/>
        <v>305.34376742500007</v>
      </c>
      <c r="I45" s="368">
        <f t="shared" si="17"/>
        <v>296.39807457000018</v>
      </c>
      <c r="J45" s="368">
        <f>+J40+J31+J35+J23-J15-J17-J38+J37-J14</f>
        <v>286.78713149039993</v>
      </c>
      <c r="K45" s="369">
        <f>+K40+K31+K35+K23-K15-K17-K38+K37-K14</f>
        <v>274.93800000000005</v>
      </c>
      <c r="L45" s="370">
        <f>+L40+L31+L35+L23-L15-L17-L38+L37-L14</f>
        <v>243.95800000000008</v>
      </c>
    </row>
    <row r="46" spans="2:17" ht="27" customHeight="1" x14ac:dyDescent="0.25">
      <c r="B46" s="371" t="s">
        <v>156</v>
      </c>
      <c r="C46" s="372">
        <f>+(C45-52.5/4)/1249.995345</f>
        <v>0.14583654309528649</v>
      </c>
      <c r="D46" s="372">
        <f>+(D45-52.5/4)/1249.341331</f>
        <v>0.1538456392887077</v>
      </c>
      <c r="E46" s="372">
        <f>+(E45-52.5/4)/1243.96483</f>
        <v>0.22827031693492497</v>
      </c>
      <c r="F46" s="372">
        <f>+(F45-52.5/4)/1245.122198</f>
        <v>0.21809505961438166</v>
      </c>
      <c r="G46" s="372">
        <f>+(G45-52.5/4)/1245.893686</f>
        <v>0.23594955898572553</v>
      </c>
      <c r="H46" s="372">
        <f>+(H45-52.5/4)/1245.212023</f>
        <v>0.23467390454597309</v>
      </c>
      <c r="I46" s="372">
        <f>+(I45-52.5/4)/1246.622609</f>
        <v>0.22723242184515857</v>
      </c>
      <c r="J46" s="372">
        <f>+(J45-52.5/4)/1246.037681</f>
        <v>0.21962588745371972</v>
      </c>
      <c r="K46" s="373">
        <f>+(K45-52.5/4)/1247.448117</f>
        <v>0.20987886905439937</v>
      </c>
      <c r="L46" s="374">
        <f>+(L45-52.5/4)/1247.575412</f>
        <v>0.18502528807452973</v>
      </c>
    </row>
    <row r="47" spans="2:17" ht="27" customHeight="1" x14ac:dyDescent="0.25">
      <c r="B47" s="375" t="s">
        <v>425</v>
      </c>
      <c r="C47" s="376">
        <f t="shared" ref="C47:I47" si="18">+C45+C15-C18+C14</f>
        <v>203.69400000000002</v>
      </c>
      <c r="D47" s="376">
        <f t="shared" si="18"/>
        <v>238.10271575749996</v>
      </c>
      <c r="E47" s="376">
        <f t="shared" si="18"/>
        <v>278.94524600000005</v>
      </c>
      <c r="F47" s="376">
        <f t="shared" si="18"/>
        <v>326.40099999999995</v>
      </c>
      <c r="G47" s="376">
        <f t="shared" si="18"/>
        <v>279.30706575479996</v>
      </c>
      <c r="H47" s="376">
        <f t="shared" si="18"/>
        <v>324.56876742500009</v>
      </c>
      <c r="I47" s="376">
        <f t="shared" si="18"/>
        <v>319.70278441000011</v>
      </c>
      <c r="J47" s="376">
        <f t="shared" ref="J47" si="19">+J45+J15-J18+J14</f>
        <v>335.98213149039992</v>
      </c>
      <c r="K47" s="377">
        <f>+K45+K15-K18+K14</f>
        <v>283.72300000000001</v>
      </c>
      <c r="L47" s="378">
        <f t="shared" ref="L47" si="20">+L45+L15-L18+L14</f>
        <v>291.83600000000007</v>
      </c>
    </row>
    <row r="48" spans="2:17" ht="27" customHeight="1" x14ac:dyDescent="0.25">
      <c r="B48" s="379" t="s">
        <v>157</v>
      </c>
      <c r="C48" s="380">
        <f>+(C47-52.5/4)/1249.995345</f>
        <v>0.15245576774527908</v>
      </c>
      <c r="D48" s="380">
        <f>+(D47-52.5/4)/1249.341331</f>
        <v>0.18007706154844241</v>
      </c>
      <c r="E48" s="380">
        <f>+(E47-52.5/4)/1243.96483</f>
        <v>0.21368791109632904</v>
      </c>
      <c r="F48" s="380">
        <f>+(F47-52.5/4)/1245.122198</f>
        <v>0.25160261418775215</v>
      </c>
      <c r="G48" s="380">
        <f>+(G47-52.5/4)/1245.893686</f>
        <v>0.21364749556552451</v>
      </c>
      <c r="H48" s="380">
        <f>+(H47-52.5/4)/1245.212023</f>
        <v>0.25011304233528114</v>
      </c>
      <c r="I48" s="380">
        <f>+(I47-52.5/4)/1246.622609</f>
        <v>0.24592670002666389</v>
      </c>
      <c r="J48" s="380">
        <f>+(J47-52.5/4)/1246.037681</f>
        <v>0.25910703698085025</v>
      </c>
      <c r="K48" s="381">
        <f>+(K47-52.5/4)/1247.481174</f>
        <v>0.21691549791676457</v>
      </c>
      <c r="L48" s="382">
        <f>+(L47-52.5/4)/1247.575412</f>
        <v>0.22340212649205377</v>
      </c>
    </row>
    <row r="49" spans="2:13" ht="11.25" customHeight="1" x14ac:dyDescent="0.25">
      <c r="B49" s="271"/>
      <c r="C49" s="271"/>
      <c r="D49" s="271"/>
      <c r="E49" s="271"/>
      <c r="F49" s="271"/>
      <c r="G49" s="271"/>
      <c r="H49" s="271"/>
      <c r="I49" s="271"/>
      <c r="J49" s="271"/>
      <c r="K49" s="271"/>
      <c r="L49" s="271"/>
    </row>
    <row r="50" spans="2:13" ht="18.600000000000001" customHeight="1" x14ac:dyDescent="0.25">
      <c r="B50" s="942" t="s">
        <v>556</v>
      </c>
      <c r="C50" s="942"/>
      <c r="D50" s="942"/>
      <c r="E50" s="942"/>
      <c r="F50" s="942"/>
      <c r="G50" s="332"/>
      <c r="H50" s="332"/>
      <c r="I50" s="332"/>
      <c r="J50" s="332"/>
      <c r="K50" s="332"/>
      <c r="L50" s="333"/>
    </row>
    <row r="51" spans="2:13" ht="21.75" customHeight="1" x14ac:dyDescent="0.25">
      <c r="B51" s="169" t="s">
        <v>316</v>
      </c>
      <c r="C51" s="332"/>
      <c r="D51" s="334"/>
      <c r="E51" s="334"/>
      <c r="F51" s="334"/>
      <c r="G51" s="334"/>
      <c r="H51" s="334"/>
      <c r="I51" s="334"/>
      <c r="J51" s="334"/>
      <c r="K51" s="334"/>
      <c r="L51" s="334"/>
    </row>
    <row r="52" spans="2:13" ht="21.75" customHeight="1" x14ac:dyDescent="0.25">
      <c r="B52" s="335" t="s">
        <v>557</v>
      </c>
      <c r="C52" s="332"/>
      <c r="D52" s="334"/>
      <c r="E52" s="334"/>
      <c r="F52" s="334"/>
      <c r="G52" s="334"/>
      <c r="H52" s="334"/>
      <c r="I52" s="334"/>
      <c r="J52" s="334"/>
      <c r="K52" s="334"/>
      <c r="L52" s="334"/>
    </row>
    <row r="53" spans="2:13" ht="21.75" customHeight="1" x14ac:dyDescent="0.25">
      <c r="B53" s="335" t="s">
        <v>483</v>
      </c>
      <c r="C53" s="332"/>
      <c r="D53" s="334"/>
      <c r="E53" s="334"/>
      <c r="F53" s="334"/>
      <c r="G53" s="334"/>
      <c r="H53" s="334"/>
      <c r="I53" s="334"/>
      <c r="J53" s="334"/>
      <c r="K53" s="334"/>
      <c r="L53" s="334"/>
    </row>
    <row r="54" spans="2:13" ht="21.75" customHeight="1" x14ac:dyDescent="0.25">
      <c r="B54" s="335" t="s">
        <v>517</v>
      </c>
      <c r="C54" s="334"/>
      <c r="D54" s="334"/>
      <c r="E54" s="334"/>
      <c r="F54" s="334"/>
      <c r="G54" s="334"/>
      <c r="H54" s="334"/>
      <c r="I54" s="334"/>
      <c r="J54" s="334"/>
      <c r="K54" s="334"/>
      <c r="L54" s="334"/>
    </row>
    <row r="55" spans="2:13" ht="30.75" customHeight="1" x14ac:dyDescent="0.25">
      <c r="B55" s="942" t="s">
        <v>558</v>
      </c>
      <c r="C55" s="942"/>
      <c r="D55" s="942"/>
      <c r="E55" s="942"/>
      <c r="F55" s="942"/>
      <c r="G55" s="332"/>
      <c r="H55" s="332"/>
      <c r="I55" s="332"/>
      <c r="J55" s="332"/>
      <c r="K55" s="332"/>
      <c r="L55" s="334"/>
    </row>
    <row r="56" spans="2:13" ht="20.25" customHeight="1" x14ac:dyDescent="0.25">
      <c r="B56" s="332" t="s">
        <v>486</v>
      </c>
      <c r="C56" s="332"/>
      <c r="D56" s="332"/>
      <c r="E56" s="332"/>
      <c r="F56" s="332"/>
      <c r="G56" s="332"/>
      <c r="H56" s="332"/>
      <c r="I56" s="332"/>
      <c r="J56" s="332"/>
      <c r="K56" s="332"/>
      <c r="L56" s="334"/>
    </row>
    <row r="57" spans="2:13" ht="20.25" customHeight="1" x14ac:dyDescent="0.25">
      <c r="B57" s="942" t="s">
        <v>632</v>
      </c>
      <c r="C57" s="942"/>
      <c r="D57" s="942"/>
      <c r="E57" s="942"/>
      <c r="F57" s="942"/>
      <c r="G57" s="942"/>
      <c r="H57" s="942"/>
      <c r="I57" s="942"/>
      <c r="J57" s="942"/>
      <c r="K57" s="942"/>
      <c r="L57" s="942"/>
    </row>
    <row r="58" spans="2:13" ht="19.5" customHeight="1" x14ac:dyDescent="0.25">
      <c r="B58" s="121" t="s">
        <v>294</v>
      </c>
      <c r="C58" s="271"/>
      <c r="D58" s="271"/>
      <c r="E58" s="271"/>
      <c r="F58" s="271"/>
      <c r="G58" s="271"/>
      <c r="H58" s="271"/>
      <c r="I58" s="271"/>
      <c r="J58" s="271"/>
      <c r="K58" s="271"/>
      <c r="L58" s="271"/>
    </row>
    <row r="59" spans="2:13" ht="7.5" customHeight="1" x14ac:dyDescent="0.25">
      <c r="C59" s="50"/>
      <c r="D59" s="50"/>
      <c r="E59" s="50"/>
      <c r="F59" s="50"/>
      <c r="G59" s="50"/>
      <c r="H59" s="50"/>
      <c r="I59" s="50"/>
      <c r="J59" s="50"/>
      <c r="K59" s="50"/>
      <c r="L59" s="50"/>
    </row>
    <row r="61" spans="2:13" x14ac:dyDescent="0.25">
      <c r="C61" s="1"/>
      <c r="D61" s="1"/>
      <c r="E61" s="1"/>
      <c r="F61" s="1"/>
      <c r="G61" s="1"/>
      <c r="H61" s="1"/>
      <c r="I61" s="1"/>
      <c r="J61" s="1"/>
      <c r="K61" s="1"/>
      <c r="L61" s="1"/>
    </row>
    <row r="62" spans="2:13" x14ac:dyDescent="0.25">
      <c r="C62" s="50"/>
      <c r="D62" s="50"/>
      <c r="E62" s="50"/>
      <c r="F62" s="50"/>
      <c r="G62" s="50"/>
      <c r="H62" s="50"/>
      <c r="I62" s="50"/>
      <c r="J62" s="50"/>
      <c r="K62" s="50"/>
      <c r="L62" s="50"/>
      <c r="M62" s="50"/>
    </row>
  </sheetData>
  <mergeCells count="4">
    <mergeCell ref="B5:L5"/>
    <mergeCell ref="B50:F50"/>
    <mergeCell ref="B55:F55"/>
    <mergeCell ref="B57:L57"/>
  </mergeCells>
  <hyperlinks>
    <hyperlink ref="L2" location="'Cover '!A1" display="Back to Cover" xr:uid="{00000000-0004-0000-0200-000000000000}"/>
  </hyperlinks>
  <printOptions horizontalCentered="1" verticalCentered="1"/>
  <pageMargins left="0" right="0" top="0" bottom="0" header="0" footer="0"/>
  <pageSetup paperSize="8" scale="66" orientation="landscape" r:id="rId1"/>
  <headerFooter alignWithMargins="0"/>
  <ignoredErrors>
    <ignoredError sqref="C47:J47 L47"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C4D89-02BE-4DCE-9264-F2EBBCDAE79D}">
  <sheetPr>
    <pageSetUpPr fitToPage="1"/>
  </sheetPr>
  <dimension ref="A1:Q52"/>
  <sheetViews>
    <sheetView showGridLines="0" view="pageBreakPreview" zoomScale="95" zoomScaleNormal="90" zoomScaleSheetLayoutView="95" workbookViewId="0">
      <selection activeCell="B5" sqref="B5:L5"/>
    </sheetView>
  </sheetViews>
  <sheetFormatPr defaultColWidth="9.109375" defaultRowHeight="15.6" x14ac:dyDescent="0.25"/>
  <cols>
    <col min="1" max="1" width="2.44140625" style="6" customWidth="1"/>
    <col min="2" max="2" width="52.6640625" style="6" customWidth="1"/>
    <col min="3" max="12" width="15.88671875" style="6" customWidth="1"/>
    <col min="13" max="13" width="2.44140625" style="6" customWidth="1"/>
    <col min="14" max="14" width="9.109375" style="6"/>
    <col min="15" max="15" width="8.44140625" style="6" customWidth="1"/>
    <col min="16" max="16384" width="9.109375" style="6"/>
  </cols>
  <sheetData>
    <row r="1" spans="1:17" ht="15.75" customHeight="1" x14ac:dyDescent="0.25"/>
    <row r="2" spans="1:17" ht="15.75" customHeight="1" x14ac:dyDescent="0.25">
      <c r="B2" s="117"/>
      <c r="C2" s="120"/>
      <c r="D2" s="120"/>
      <c r="E2" s="120"/>
      <c r="F2" s="120"/>
      <c r="G2" s="120"/>
      <c r="H2" s="120"/>
      <c r="I2" s="120"/>
      <c r="J2" s="120"/>
      <c r="K2" s="120"/>
      <c r="L2" s="119" t="s">
        <v>20</v>
      </c>
    </row>
    <row r="3" spans="1:17" ht="15.75" customHeight="1" x14ac:dyDescent="0.25">
      <c r="B3" s="117"/>
      <c r="C3" s="117"/>
      <c r="D3" s="117"/>
      <c r="E3" s="117"/>
      <c r="F3" s="117"/>
      <c r="G3" s="117"/>
      <c r="H3" s="117"/>
      <c r="I3" s="117"/>
      <c r="J3" s="117"/>
      <c r="K3" s="117"/>
      <c r="L3" s="117"/>
    </row>
    <row r="4" spans="1:17" ht="15.75" customHeight="1" x14ac:dyDescent="0.25">
      <c r="B4" s="117"/>
      <c r="C4" s="117"/>
      <c r="D4" s="117"/>
      <c r="E4" s="117"/>
      <c r="F4" s="117"/>
      <c r="G4" s="117"/>
      <c r="H4" s="117"/>
      <c r="I4" s="117"/>
      <c r="J4" s="117"/>
      <c r="K4" s="117"/>
      <c r="L4" s="117"/>
    </row>
    <row r="5" spans="1:17" s="17" customFormat="1" ht="27.6" x14ac:dyDescent="0.25">
      <c r="A5" s="16"/>
      <c r="B5" s="937" t="s">
        <v>116</v>
      </c>
      <c r="C5" s="941"/>
      <c r="D5" s="941"/>
      <c r="E5" s="941"/>
      <c r="F5" s="941"/>
      <c r="G5" s="941"/>
      <c r="H5" s="941"/>
      <c r="I5" s="941"/>
      <c r="J5" s="941"/>
      <c r="K5" s="941"/>
      <c r="L5" s="941"/>
    </row>
    <row r="6" spans="1:17" s="17" customFormat="1" ht="9" customHeight="1" x14ac:dyDescent="0.25">
      <c r="A6" s="16"/>
      <c r="B6" s="18"/>
    </row>
    <row r="7" spans="1:17" s="17" customFormat="1" ht="15.75" customHeight="1" x14ac:dyDescent="0.25">
      <c r="A7" s="18"/>
      <c r="B7" s="21"/>
    </row>
    <row r="8" spans="1:17" ht="15" customHeight="1" x14ac:dyDescent="0.25">
      <c r="F8" s="758"/>
      <c r="G8" s="758"/>
      <c r="H8" s="758"/>
      <c r="I8" s="758"/>
      <c r="J8" s="758"/>
      <c r="K8" s="758"/>
      <c r="L8" s="758"/>
    </row>
    <row r="9" spans="1:17" s="7" customFormat="1" ht="33.75" customHeight="1" x14ac:dyDescent="0.25">
      <c r="B9" s="351" t="s">
        <v>0</v>
      </c>
      <c r="C9" s="352" t="s">
        <v>181</v>
      </c>
      <c r="D9" s="352" t="s">
        <v>184</v>
      </c>
      <c r="E9" s="352" t="s">
        <v>192</v>
      </c>
      <c r="F9" s="352" t="s">
        <v>310</v>
      </c>
      <c r="G9" s="352" t="s">
        <v>318</v>
      </c>
      <c r="H9" s="352" t="s">
        <v>416</v>
      </c>
      <c r="I9" s="352" t="s">
        <v>470</v>
      </c>
      <c r="J9" s="352" t="s">
        <v>501</v>
      </c>
      <c r="K9" s="353" t="s">
        <v>561</v>
      </c>
      <c r="L9" s="354" t="s">
        <v>593</v>
      </c>
    </row>
    <row r="10" spans="1:17" s="9" customFormat="1" ht="24.75" customHeight="1" x14ac:dyDescent="0.25">
      <c r="B10" s="148" t="s">
        <v>250</v>
      </c>
      <c r="C10" s="411">
        <v>410.64699999999993</v>
      </c>
      <c r="D10" s="411">
        <v>454.39199999999983</v>
      </c>
      <c r="E10" s="414">
        <v>497.47399999999993</v>
      </c>
      <c r="F10" s="411">
        <v>511.30700000000013</v>
      </c>
      <c r="G10" s="411">
        <v>502.97947991000001</v>
      </c>
      <c r="H10" s="414">
        <v>516.82432579000022</v>
      </c>
      <c r="I10" s="414">
        <v>522.33644699999979</v>
      </c>
      <c r="J10" s="414">
        <v>506.60793783999998</v>
      </c>
      <c r="K10" s="903">
        <v>468.33464606999991</v>
      </c>
      <c r="L10" s="415">
        <v>452.43089954999988</v>
      </c>
      <c r="O10" s="100"/>
      <c r="P10" s="100"/>
    </row>
    <row r="11" spans="1:17" s="9" customFormat="1" ht="24.75" customHeight="1" x14ac:dyDescent="0.25">
      <c r="B11" s="416" t="s">
        <v>73</v>
      </c>
      <c r="C11" s="412">
        <v>383.60011604999988</v>
      </c>
      <c r="D11" s="412">
        <v>427.67596949000006</v>
      </c>
      <c r="E11" s="417">
        <v>472.21331828999985</v>
      </c>
      <c r="F11" s="412">
        <v>488.09457219000006</v>
      </c>
      <c r="G11" s="412">
        <v>484.86801123999999</v>
      </c>
      <c r="H11" s="417">
        <v>500.38982559800024</v>
      </c>
      <c r="I11" s="816">
        <v>505.32244483399984</v>
      </c>
      <c r="J11" s="417">
        <v>494.72187715999996</v>
      </c>
      <c r="K11" s="904">
        <v>457.65553821399993</v>
      </c>
      <c r="L11" s="418">
        <v>440.39133492699995</v>
      </c>
      <c r="O11" s="100"/>
      <c r="P11" s="100"/>
    </row>
    <row r="12" spans="1:17" s="9" customFormat="1" ht="24.75" customHeight="1" x14ac:dyDescent="0.25">
      <c r="B12" s="416" t="s">
        <v>72</v>
      </c>
      <c r="C12" s="412">
        <v>27.046883949999998</v>
      </c>
      <c r="D12" s="412">
        <v>26.716030510000003</v>
      </c>
      <c r="E12" s="417">
        <v>25.260681710000004</v>
      </c>
      <c r="F12" s="412">
        <v>23.212427810000001</v>
      </c>
      <c r="G12" s="412">
        <v>18.111468670000004</v>
      </c>
      <c r="H12" s="417">
        <v>16.434500192000002</v>
      </c>
      <c r="I12" s="816">
        <v>17.014002165999997</v>
      </c>
      <c r="J12" s="417">
        <v>11.88606068</v>
      </c>
      <c r="K12" s="904">
        <v>10.679107855999998</v>
      </c>
      <c r="L12" s="418">
        <v>12.03956462299996</v>
      </c>
      <c r="O12" s="100"/>
      <c r="P12" s="100"/>
    </row>
    <row r="13" spans="1:17" s="9" customFormat="1" ht="24.75" customHeight="1" x14ac:dyDescent="0.25">
      <c r="B13" s="148" t="s">
        <v>251</v>
      </c>
      <c r="C13" s="411">
        <v>77.10452746</v>
      </c>
      <c r="D13" s="411">
        <v>72.456081470000001</v>
      </c>
      <c r="E13" s="414">
        <v>79.94187721000003</v>
      </c>
      <c r="F13" s="411">
        <v>87.338570519999919</v>
      </c>
      <c r="G13" s="411">
        <v>88.541939920000004</v>
      </c>
      <c r="H13" s="414">
        <v>106.30362873000001</v>
      </c>
      <c r="I13" s="414">
        <v>111.7758449</v>
      </c>
      <c r="J13" s="414">
        <v>118.34205895000002</v>
      </c>
      <c r="K13" s="903">
        <v>122.01473585000002</v>
      </c>
      <c r="L13" s="415">
        <v>126.37704643999999</v>
      </c>
      <c r="O13" s="100"/>
      <c r="P13" s="100"/>
    </row>
    <row r="14" spans="1:17" s="9" customFormat="1" ht="24.75" customHeight="1" x14ac:dyDescent="0.25">
      <c r="B14" s="148" t="s">
        <v>252</v>
      </c>
      <c r="C14" s="411">
        <v>28.620229609999999</v>
      </c>
      <c r="D14" s="411">
        <v>53.407572030000011</v>
      </c>
      <c r="E14" s="414">
        <v>63.123262740000001</v>
      </c>
      <c r="F14" s="411">
        <v>63.817700949999988</v>
      </c>
      <c r="G14" s="411">
        <v>70.264778890000002</v>
      </c>
      <c r="H14" s="414">
        <v>63.447242189999997</v>
      </c>
      <c r="I14" s="414">
        <v>50.081623330000014</v>
      </c>
      <c r="J14" s="414">
        <v>44.391571049999953</v>
      </c>
      <c r="K14" s="903">
        <v>44.933600640000002</v>
      </c>
      <c r="L14" s="415">
        <v>39.562176659999999</v>
      </c>
      <c r="O14" s="100"/>
      <c r="P14" s="100"/>
    </row>
    <row r="15" spans="1:17" s="9" customFormat="1" ht="24.75" customHeight="1" x14ac:dyDescent="0.25">
      <c r="B15" s="148" t="s">
        <v>253</v>
      </c>
      <c r="C15" s="411">
        <v>64.801649500000124</v>
      </c>
      <c r="D15" s="411">
        <v>89.9461821000002</v>
      </c>
      <c r="E15" s="414">
        <v>120.41568600999999</v>
      </c>
      <c r="F15" s="411">
        <v>124.57918938999954</v>
      </c>
      <c r="G15" s="411">
        <v>119.0223414299998</v>
      </c>
      <c r="H15" s="414">
        <v>114.18100776000004</v>
      </c>
      <c r="I15" s="414">
        <v>93.21856692000064</v>
      </c>
      <c r="J15" s="414">
        <v>79.831227029999738</v>
      </c>
      <c r="K15" s="903">
        <v>56.731240330000205</v>
      </c>
      <c r="L15" s="415">
        <v>39.99191153000028</v>
      </c>
      <c r="O15" s="100"/>
      <c r="P15" s="100"/>
      <c r="Q15" s="59"/>
    </row>
    <row r="16" spans="1:17" s="9" customFormat="1" ht="24.75" customHeight="1" x14ac:dyDescent="0.25">
      <c r="B16" s="384" t="s">
        <v>254</v>
      </c>
      <c r="C16" s="385">
        <f t="shared" ref="C16" si="0">C10+C13+C15+C14</f>
        <v>581.17340657000011</v>
      </c>
      <c r="D16" s="385">
        <f t="shared" ref="D16:H16" si="1">D10+D13+D15+D14</f>
        <v>670.20183559999998</v>
      </c>
      <c r="E16" s="385">
        <f t="shared" si="1"/>
        <v>760.95482595999988</v>
      </c>
      <c r="F16" s="385">
        <f t="shared" si="1"/>
        <v>787.04246085999966</v>
      </c>
      <c r="G16" s="385">
        <f t="shared" si="1"/>
        <v>780.80854014999977</v>
      </c>
      <c r="H16" s="385">
        <f t="shared" si="1"/>
        <v>800.75620447000028</v>
      </c>
      <c r="I16" s="385">
        <f t="shared" ref="I16" si="2">I10+I13+I15+I14</f>
        <v>777.41248215000041</v>
      </c>
      <c r="J16" s="385">
        <f t="shared" ref="J16" si="3">J10+J13+J15+J14</f>
        <v>749.17279486999962</v>
      </c>
      <c r="K16" s="386">
        <f t="shared" ref="K16:L16" si="4">K10+K13+K15+K14</f>
        <v>692.01422289000016</v>
      </c>
      <c r="L16" s="387">
        <f t="shared" si="4"/>
        <v>658.36203418000014</v>
      </c>
      <c r="O16" s="100"/>
      <c r="P16" s="100"/>
    </row>
    <row r="17" spans="2:16" s="9" customFormat="1" ht="17.25" customHeight="1" x14ac:dyDescent="0.25">
      <c r="B17" s="148"/>
      <c r="C17" s="413"/>
      <c r="D17" s="413"/>
      <c r="E17" s="419"/>
      <c r="F17" s="413"/>
      <c r="G17" s="413"/>
      <c r="H17" s="419"/>
      <c r="I17" s="419"/>
      <c r="J17" s="419"/>
      <c r="K17" s="905"/>
      <c r="L17" s="420"/>
    </row>
    <row r="18" spans="2:16" s="9" customFormat="1" ht="24.75" customHeight="1" x14ac:dyDescent="0.25">
      <c r="B18" s="148" t="s">
        <v>255</v>
      </c>
      <c r="C18" s="411">
        <v>32.772462070000003</v>
      </c>
      <c r="D18" s="411">
        <v>52.686348440000003</v>
      </c>
      <c r="E18" s="414">
        <v>70.288956289999987</v>
      </c>
      <c r="F18" s="411">
        <v>76.45771981</v>
      </c>
      <c r="G18" s="411">
        <v>78.356409669999991</v>
      </c>
      <c r="H18" s="414">
        <v>80.442876220000002</v>
      </c>
      <c r="I18" s="414">
        <v>83.960834339999977</v>
      </c>
      <c r="J18" s="414">
        <v>85.223943320000018</v>
      </c>
      <c r="K18" s="903">
        <v>79.454660869999998</v>
      </c>
      <c r="L18" s="415">
        <v>67.691612049999989</v>
      </c>
      <c r="O18" s="100"/>
      <c r="P18" s="100"/>
    </row>
    <row r="19" spans="2:16" s="9" customFormat="1" ht="24.75" customHeight="1" x14ac:dyDescent="0.25">
      <c r="B19" s="148" t="s">
        <v>256</v>
      </c>
      <c r="C19" s="411">
        <v>45.533054969999995</v>
      </c>
      <c r="D19" s="411">
        <v>67.329734680000016</v>
      </c>
      <c r="E19" s="414">
        <v>83.904905139999983</v>
      </c>
      <c r="F19" s="411">
        <v>88.776219090000012</v>
      </c>
      <c r="G19" s="411">
        <v>75.349431469999999</v>
      </c>
      <c r="H19" s="414">
        <v>74.853258679999996</v>
      </c>
      <c r="I19" s="414">
        <v>44.902288939999991</v>
      </c>
      <c r="J19" s="414">
        <v>38.968236330000011</v>
      </c>
      <c r="K19" s="903">
        <v>27.055253610000001</v>
      </c>
      <c r="L19" s="415">
        <v>21.65973322</v>
      </c>
      <c r="O19" s="100"/>
      <c r="P19" s="100"/>
    </row>
    <row r="20" spans="2:16" s="9" customFormat="1" ht="24.75" customHeight="1" x14ac:dyDescent="0.25">
      <c r="B20" s="148" t="s">
        <v>257</v>
      </c>
      <c r="C20" s="411">
        <v>29.043533120000003</v>
      </c>
      <c r="D20" s="411">
        <v>29.602520509999998</v>
      </c>
      <c r="E20" s="414">
        <v>37.444393680000005</v>
      </c>
      <c r="F20" s="411">
        <v>41.672792670000007</v>
      </c>
      <c r="G20" s="411">
        <v>48.508272179999999</v>
      </c>
      <c r="H20" s="414">
        <v>54.31663463000001</v>
      </c>
      <c r="I20" s="414">
        <v>60.259388629999997</v>
      </c>
      <c r="J20" s="414">
        <v>65.276742829999989</v>
      </c>
      <c r="K20" s="903">
        <v>64.287361050000015</v>
      </c>
      <c r="L20" s="415">
        <v>64.912942420000007</v>
      </c>
      <c r="O20" s="100"/>
      <c r="P20" s="100"/>
    </row>
    <row r="21" spans="2:16" s="9" customFormat="1" ht="24.75" customHeight="1" x14ac:dyDescent="0.25">
      <c r="B21" s="148" t="s">
        <v>258</v>
      </c>
      <c r="C21" s="411">
        <v>12.38514004</v>
      </c>
      <c r="D21" s="411">
        <v>18.820755200000004</v>
      </c>
      <c r="E21" s="414">
        <v>24.75945668999999</v>
      </c>
      <c r="F21" s="411">
        <v>26.422295880000007</v>
      </c>
      <c r="G21" s="411">
        <v>26.385850989999994</v>
      </c>
      <c r="H21" s="414">
        <v>28.732993320000006</v>
      </c>
      <c r="I21" s="414">
        <v>27.719322949999984</v>
      </c>
      <c r="J21" s="414">
        <v>25.658709730000012</v>
      </c>
      <c r="K21" s="903">
        <v>28.106815510000001</v>
      </c>
      <c r="L21" s="415">
        <v>28.194147700000059</v>
      </c>
      <c r="O21" s="100"/>
      <c r="P21" s="100"/>
    </row>
    <row r="22" spans="2:16" s="9" customFormat="1" ht="24.75" customHeight="1" x14ac:dyDescent="0.25">
      <c r="B22" s="148" t="s">
        <v>313</v>
      </c>
      <c r="C22" s="411"/>
      <c r="D22" s="411"/>
      <c r="E22" s="414"/>
      <c r="F22" s="411">
        <v>4.1218190000000003</v>
      </c>
      <c r="G22" s="411">
        <v>21.436</v>
      </c>
      <c r="H22" s="414">
        <v>22.091000000000001</v>
      </c>
      <c r="I22" s="414">
        <v>18.28</v>
      </c>
      <c r="J22" s="414">
        <v>7.71</v>
      </c>
      <c r="K22" s="903">
        <v>-0.81499999999999995</v>
      </c>
      <c r="L22" s="415">
        <v>-10.716147510000061</v>
      </c>
      <c r="O22" s="100"/>
      <c r="P22" s="100"/>
    </row>
    <row r="23" spans="2:16" ht="24.75" customHeight="1" x14ac:dyDescent="0.25">
      <c r="B23" s="148" t="s">
        <v>259</v>
      </c>
      <c r="C23" s="411">
        <v>14.572365080000008</v>
      </c>
      <c r="D23" s="411">
        <v>13.96302617000001</v>
      </c>
      <c r="E23" s="414">
        <v>13.206603949999998</v>
      </c>
      <c r="F23" s="411">
        <v>12.946861139999907</v>
      </c>
      <c r="G23" s="411">
        <v>13.143638280000051</v>
      </c>
      <c r="H23" s="414">
        <v>12.761573479999914</v>
      </c>
      <c r="I23" s="414">
        <v>12.785316060000039</v>
      </c>
      <c r="J23" s="414">
        <v>12.820602309999973</v>
      </c>
      <c r="K23" s="903">
        <v>12.972413059999976</v>
      </c>
      <c r="L23" s="415">
        <v>13.054289910000016</v>
      </c>
      <c r="O23" s="100"/>
      <c r="P23" s="100"/>
    </row>
    <row r="24" spans="2:16" s="9" customFormat="1" ht="24.75" customHeight="1" x14ac:dyDescent="0.25">
      <c r="B24" s="384" t="s">
        <v>260</v>
      </c>
      <c r="C24" s="385">
        <f t="shared" ref="C24:E24" si="5">SUM(C18:C23)</f>
        <v>134.30655528</v>
      </c>
      <c r="D24" s="385">
        <f t="shared" si="5"/>
        <v>182.40238500000004</v>
      </c>
      <c r="E24" s="385">
        <f t="shared" si="5"/>
        <v>229.60431574999996</v>
      </c>
      <c r="F24" s="385">
        <f t="shared" ref="F24" si="6">SUM(F18:F23)</f>
        <v>250.3977075899999</v>
      </c>
      <c r="G24" s="385">
        <f t="shared" ref="G24:L24" si="7">SUM(G18:G23)</f>
        <v>263.17960259000006</v>
      </c>
      <c r="H24" s="385">
        <f t="shared" si="7"/>
        <v>273.19833632999996</v>
      </c>
      <c r="I24" s="385">
        <f t="shared" si="7"/>
        <v>247.90715091999999</v>
      </c>
      <c r="J24" s="385">
        <f t="shared" si="7"/>
        <v>235.65823451999998</v>
      </c>
      <c r="K24" s="386">
        <f t="shared" si="7"/>
        <v>211.06150409999998</v>
      </c>
      <c r="L24" s="387">
        <f t="shared" si="7"/>
        <v>184.79657779000001</v>
      </c>
      <c r="O24" s="100"/>
      <c r="P24" s="100"/>
    </row>
    <row r="25" spans="2:16" s="9" customFormat="1" ht="11.25" customHeight="1" x14ac:dyDescent="0.4">
      <c r="B25" s="424"/>
      <c r="C25" s="421"/>
      <c r="D25" s="421"/>
      <c r="E25" s="421"/>
      <c r="F25" s="421"/>
      <c r="G25" s="421"/>
      <c r="H25" s="421"/>
      <c r="I25" s="421"/>
      <c r="J25" s="421"/>
      <c r="K25" s="425"/>
      <c r="L25" s="426"/>
    </row>
    <row r="26" spans="2:16" s="9" customFormat="1" ht="24" customHeight="1" x14ac:dyDescent="0.25">
      <c r="B26" s="427" t="s">
        <v>1</v>
      </c>
      <c r="C26" s="428">
        <f t="shared" ref="C26:E26" si="8">C16-C24</f>
        <v>446.86685129000011</v>
      </c>
      <c r="D26" s="428">
        <f t="shared" si="8"/>
        <v>487.79945059999994</v>
      </c>
      <c r="E26" s="428">
        <f t="shared" si="8"/>
        <v>531.35051020999992</v>
      </c>
      <c r="F26" s="428">
        <f t="shared" ref="F26" si="9">F16-F24</f>
        <v>536.6447532699998</v>
      </c>
      <c r="G26" s="428">
        <f t="shared" ref="G26:L26" si="10">G16-G24</f>
        <v>517.62893755999971</v>
      </c>
      <c r="H26" s="428">
        <f t="shared" si="10"/>
        <v>527.55786814000032</v>
      </c>
      <c r="I26" s="428">
        <f t="shared" si="10"/>
        <v>529.50533123000037</v>
      </c>
      <c r="J26" s="428">
        <f t="shared" si="10"/>
        <v>513.51456034999967</v>
      </c>
      <c r="K26" s="429">
        <f t="shared" si="10"/>
        <v>480.95271879000018</v>
      </c>
      <c r="L26" s="430">
        <f t="shared" si="10"/>
        <v>473.56545639000012</v>
      </c>
      <c r="O26" s="100"/>
      <c r="P26" s="100"/>
    </row>
    <row r="27" spans="2:16" s="9" customFormat="1" ht="12.75" customHeight="1" x14ac:dyDescent="0.25">
      <c r="B27" s="431"/>
      <c r="C27" s="432"/>
      <c r="D27" s="432"/>
      <c r="E27" s="432"/>
      <c r="F27" s="432"/>
      <c r="G27" s="432"/>
      <c r="H27" s="432"/>
      <c r="I27" s="432"/>
      <c r="J27" s="432"/>
      <c r="K27" s="433"/>
      <c r="L27" s="434"/>
    </row>
    <row r="28" spans="2:16" s="9" customFormat="1" ht="23.25" customHeight="1" x14ac:dyDescent="0.25">
      <c r="B28" s="687" t="s">
        <v>394</v>
      </c>
      <c r="C28" s="688">
        <v>2.63595384615385E-2</v>
      </c>
      <c r="D28" s="688">
        <v>3.36326153846154E-2</v>
      </c>
      <c r="E28" s="688">
        <v>3.7774769230769202E-2</v>
      </c>
      <c r="F28" s="688">
        <v>3.9582923076923099E-2</v>
      </c>
      <c r="G28" s="688">
        <v>3.9231692307692301E-2</v>
      </c>
      <c r="H28" s="688">
        <v>3.8104307692307701E-2</v>
      </c>
      <c r="I28" s="688">
        <v>3.5634923076923099E-2</v>
      </c>
      <c r="J28" s="688">
        <v>2.9984242424242403E-2</v>
      </c>
      <c r="K28" s="689">
        <v>2.56246875E-2</v>
      </c>
      <c r="L28" s="690">
        <v>2.1052698412698401E-2</v>
      </c>
      <c r="N28" s="710"/>
      <c r="O28" s="710"/>
    </row>
    <row r="29" spans="2:16" s="9" customFormat="1" ht="23.25" customHeight="1" x14ac:dyDescent="0.25">
      <c r="B29" s="693" t="s">
        <v>426</v>
      </c>
      <c r="C29" s="694">
        <v>5.4949729637958307E-2</v>
      </c>
      <c r="D29" s="694">
        <v>6.070619928770199E-2</v>
      </c>
      <c r="E29" s="694">
        <v>6.4562669640484793E-2</v>
      </c>
      <c r="F29" s="694">
        <v>6.573999999785278E-2</v>
      </c>
      <c r="G29" s="694">
        <v>6.5312671941050129E-2</v>
      </c>
      <c r="H29" s="694">
        <v>6.591987949724773E-2</v>
      </c>
      <c r="I29" s="694">
        <v>6.3971184781618229E-2</v>
      </c>
      <c r="J29" s="694">
        <v>5.9481827059117559E-2</v>
      </c>
      <c r="K29" s="695">
        <v>5.44247358578753E-2</v>
      </c>
      <c r="L29" s="696">
        <v>5.0287137061545223E-2</v>
      </c>
      <c r="N29" s="710"/>
      <c r="O29" s="710"/>
      <c r="P29" s="710"/>
    </row>
    <row r="30" spans="2:16" s="9" customFormat="1" ht="23.25" customHeight="1" x14ac:dyDescent="0.25">
      <c r="B30" s="686" t="s">
        <v>453</v>
      </c>
      <c r="C30" s="702">
        <v>5.5350495803373215E-2</v>
      </c>
      <c r="D30" s="702">
        <v>5.9621738594033885E-2</v>
      </c>
      <c r="E30" s="702">
        <v>6.56281763026898E-2</v>
      </c>
      <c r="F30" s="702">
        <v>6.7107895788420968E-2</v>
      </c>
      <c r="G30" s="702">
        <v>6.645371867807888E-2</v>
      </c>
      <c r="H30" s="702">
        <v>6.5704161336757688E-2</v>
      </c>
      <c r="I30" s="702">
        <v>6.3939296024634079E-2</v>
      </c>
      <c r="J30" s="702">
        <v>5.9006693162056527E-2</v>
      </c>
      <c r="K30" s="703">
        <v>5.4485057013872948E-2</v>
      </c>
      <c r="L30" s="704">
        <v>4.9051366313959073E-2</v>
      </c>
      <c r="N30" s="710"/>
      <c r="O30" s="710"/>
      <c r="P30" s="710"/>
    </row>
    <row r="31" spans="2:16" s="9" customFormat="1" ht="23.25" customHeight="1" x14ac:dyDescent="0.25">
      <c r="B31" s="686" t="s">
        <v>454</v>
      </c>
      <c r="C31" s="702">
        <v>4.1967651856792819E-2</v>
      </c>
      <c r="D31" s="702">
        <v>4.8677462503227083E-2</v>
      </c>
      <c r="E31" s="702">
        <v>4.9890645134093088E-2</v>
      </c>
      <c r="F31" s="702">
        <v>5.0302153444610982E-2</v>
      </c>
      <c r="G31" s="702">
        <v>5.0936336436381728E-2</v>
      </c>
      <c r="H31" s="702">
        <v>5.1400000000000001E-2</v>
      </c>
      <c r="I31" s="702">
        <v>5.0799999999999998E-2</v>
      </c>
      <c r="J31" s="702">
        <v>4.8053290381584221E-2</v>
      </c>
      <c r="K31" s="703">
        <v>4.2822764808447981E-2</v>
      </c>
      <c r="L31" s="704">
        <v>3.8582213214172531E-2</v>
      </c>
      <c r="N31" s="710"/>
      <c r="O31" s="710"/>
      <c r="P31" s="710"/>
    </row>
    <row r="32" spans="2:16" s="9" customFormat="1" ht="23.25" customHeight="1" x14ac:dyDescent="0.25">
      <c r="B32" s="697" t="s">
        <v>455</v>
      </c>
      <c r="C32" s="705">
        <v>8.0086163704706934E-2</v>
      </c>
      <c r="D32" s="705">
        <v>8.4616869792783503E-2</v>
      </c>
      <c r="E32" s="705">
        <v>8.5117623059290409E-2</v>
      </c>
      <c r="F32" s="705">
        <v>8.5438163870236089E-2</v>
      </c>
      <c r="G32" s="705">
        <v>8.4179658441651414E-2</v>
      </c>
      <c r="H32" s="705">
        <v>8.4980428741874267E-2</v>
      </c>
      <c r="I32" s="705">
        <v>8.2999116404862155E-2</v>
      </c>
      <c r="J32" s="705">
        <v>8.0871049097841458E-2</v>
      </c>
      <c r="K32" s="706">
        <v>7.813440483964823E-2</v>
      </c>
      <c r="L32" s="707">
        <v>7.5494838019026358E-2</v>
      </c>
      <c r="N32" s="710"/>
      <c r="O32" s="710"/>
      <c r="P32" s="710"/>
    </row>
    <row r="33" spans="2:16" s="9" customFormat="1" ht="23.25" customHeight="1" x14ac:dyDescent="0.25">
      <c r="B33" s="693" t="s">
        <v>476</v>
      </c>
      <c r="C33" s="694">
        <v>2.7484306220677136E-2</v>
      </c>
      <c r="D33" s="694">
        <v>2.7672846623426003E-2</v>
      </c>
      <c r="E33" s="694">
        <v>2.7255650575064412E-2</v>
      </c>
      <c r="F33" s="694">
        <v>2.6253577398597853E-2</v>
      </c>
      <c r="G33" s="694">
        <v>2.5893817650140719E-2</v>
      </c>
      <c r="H33" s="694">
        <v>2.6866913594297603E-2</v>
      </c>
      <c r="I33" s="694">
        <v>2.6106057315995437E-2</v>
      </c>
      <c r="J33" s="694">
        <v>2.4844613548467308E-2</v>
      </c>
      <c r="K33" s="695">
        <v>2.4501556222026679E-2</v>
      </c>
      <c r="L33" s="696">
        <v>2.4345457715720258E-2</v>
      </c>
      <c r="O33" s="710"/>
      <c r="P33" s="710"/>
    </row>
    <row r="34" spans="2:16" s="9" customFormat="1" ht="23.25" customHeight="1" x14ac:dyDescent="0.25">
      <c r="B34" s="686" t="s">
        <v>453</v>
      </c>
      <c r="C34" s="702">
        <v>2.6891410143407356E-2</v>
      </c>
      <c r="D34" s="702">
        <v>2.6462024242743735E-2</v>
      </c>
      <c r="E34" s="702">
        <v>2.6030170194375701E-2</v>
      </c>
      <c r="F34" s="702">
        <v>2.4943084988293177E-2</v>
      </c>
      <c r="G34" s="702">
        <v>2.4487256057612827E-2</v>
      </c>
      <c r="H34" s="702">
        <v>2.4078191050229649E-2</v>
      </c>
      <c r="I34" s="702">
        <v>2.3726223789355651E-2</v>
      </c>
      <c r="J34" s="702">
        <v>2.2877279229359341E-2</v>
      </c>
      <c r="K34" s="703">
        <v>2.2712177971919392E-2</v>
      </c>
      <c r="L34" s="704">
        <v>2.1984309675333776E-2</v>
      </c>
      <c r="O34" s="710"/>
      <c r="P34" s="710"/>
    </row>
    <row r="35" spans="2:16" s="9" customFormat="1" ht="23.25" customHeight="1" x14ac:dyDescent="0.25">
      <c r="B35" s="686" t="s">
        <v>454</v>
      </c>
      <c r="C35" s="702">
        <v>1.6133063877123092E-2</v>
      </c>
      <c r="D35" s="702">
        <v>1.8642871142911369E-2</v>
      </c>
      <c r="E35" s="702">
        <v>1.9194402990634712E-2</v>
      </c>
      <c r="F35" s="702">
        <v>1.9133112858344941E-2</v>
      </c>
      <c r="G35" s="702">
        <v>1.9819356994104944E-2</v>
      </c>
      <c r="H35" s="702">
        <v>2.5157836599761056E-2</v>
      </c>
      <c r="I35" s="702">
        <v>2.2972658759469692E-2</v>
      </c>
      <c r="J35" s="702">
        <v>1.9167215717352446E-2</v>
      </c>
      <c r="K35" s="703">
        <v>1.8289519864147497E-2</v>
      </c>
      <c r="L35" s="704">
        <v>1.8393868033348484E-2</v>
      </c>
      <c r="O35" s="710"/>
      <c r="P35" s="710"/>
    </row>
    <row r="36" spans="2:16" s="9" customFormat="1" ht="23.25" customHeight="1" x14ac:dyDescent="0.25">
      <c r="B36" s="697" t="s">
        <v>455</v>
      </c>
      <c r="C36" s="705">
        <v>5.4844000035603718E-2</v>
      </c>
      <c r="D36" s="705">
        <v>5.302020095169941E-2</v>
      </c>
      <c r="E36" s="705">
        <v>4.9957482357563171E-2</v>
      </c>
      <c r="F36" s="705">
        <v>4.7366942396091856E-2</v>
      </c>
      <c r="G36" s="705">
        <v>4.5907701885376948E-2</v>
      </c>
      <c r="H36" s="705">
        <v>4.7192151774700569E-2</v>
      </c>
      <c r="I36" s="705">
        <v>4.7215065382410847E-2</v>
      </c>
      <c r="J36" s="705">
        <v>4.8587221750214508E-2</v>
      </c>
      <c r="K36" s="706">
        <v>4.7954596443459528E-2</v>
      </c>
      <c r="L36" s="707">
        <v>5.1529483056730871E-2</v>
      </c>
      <c r="O36" s="710"/>
      <c r="P36" s="710"/>
    </row>
    <row r="37" spans="2:16" s="9" customFormat="1" ht="23.25" customHeight="1" x14ac:dyDescent="0.25">
      <c r="B37" s="698" t="s">
        <v>395</v>
      </c>
      <c r="C37" s="699">
        <v>2.5119801157975224E-2</v>
      </c>
      <c r="D37" s="699">
        <v>2.218905237387921E-2</v>
      </c>
      <c r="E37" s="699">
        <v>2.3988991922705458E-2</v>
      </c>
      <c r="F37" s="699">
        <v>2.5777044964965665E-2</v>
      </c>
      <c r="G37" s="699">
        <v>2.5938008531260312E-2</v>
      </c>
      <c r="H37" s="699">
        <v>2.9281246333657196E-2</v>
      </c>
      <c r="I37" s="699">
        <v>2.9574718018028939E-2</v>
      </c>
      <c r="J37" s="699">
        <v>2.954298456052815E-2</v>
      </c>
      <c r="K37" s="700">
        <v>2.9815579338572828E-2</v>
      </c>
      <c r="L37" s="701">
        <v>2.9717645994255405E-2</v>
      </c>
    </row>
    <row r="38" spans="2:16" s="9" customFormat="1" ht="23.25" customHeight="1" x14ac:dyDescent="0.25">
      <c r="B38" s="693" t="s">
        <v>397</v>
      </c>
      <c r="C38" s="694">
        <v>2.2992829711599235E-3</v>
      </c>
      <c r="D38" s="694">
        <v>3.6137516447293039E-3</v>
      </c>
      <c r="E38" s="694">
        <v>4.6953754684291374E-3</v>
      </c>
      <c r="F38" s="694">
        <v>5.0918672365838722E-3</v>
      </c>
      <c r="G38" s="694">
        <v>5.3272728018339145E-3</v>
      </c>
      <c r="H38" s="694">
        <v>5.3724921473707991E-3</v>
      </c>
      <c r="I38" s="694">
        <v>5.472896783695412E-3</v>
      </c>
      <c r="J38" s="694">
        <v>5.4274043943437107E-3</v>
      </c>
      <c r="K38" s="695">
        <v>5.1853113068753062E-3</v>
      </c>
      <c r="L38" s="696">
        <v>4.3218026275067467E-3</v>
      </c>
    </row>
    <row r="39" spans="2:16" s="9" customFormat="1" ht="23.25" customHeight="1" x14ac:dyDescent="0.25">
      <c r="B39" s="686" t="s">
        <v>478</v>
      </c>
      <c r="C39" s="702">
        <v>5.9999999999999995E-4</v>
      </c>
      <c r="D39" s="702">
        <v>4.0000000000000002E-4</v>
      </c>
      <c r="E39" s="702">
        <v>5.0000000000000001E-4</v>
      </c>
      <c r="F39" s="702">
        <v>5.9999999999999995E-4</v>
      </c>
      <c r="G39" s="702">
        <v>6.9999999999999999E-4</v>
      </c>
      <c r="H39" s="702">
        <v>6.9999999999999999E-4</v>
      </c>
      <c r="I39" s="702">
        <v>6.8951896105703004E-4</v>
      </c>
      <c r="J39" s="702">
        <v>7.8879677959455008E-4</v>
      </c>
      <c r="K39" s="703">
        <v>7.778514853293663E-4</v>
      </c>
      <c r="L39" s="704">
        <v>6.5614280080217031E-4</v>
      </c>
    </row>
    <row r="40" spans="2:16" s="9" customFormat="1" ht="23.25" customHeight="1" x14ac:dyDescent="0.25">
      <c r="B40" s="697" t="s">
        <v>477</v>
      </c>
      <c r="C40" s="705">
        <v>9.5999999999999992E-3</v>
      </c>
      <c r="D40" s="705">
        <v>1.4800000000000001E-2</v>
      </c>
      <c r="E40" s="705">
        <v>1.8499999999999999E-2</v>
      </c>
      <c r="F40" s="705">
        <v>0.02</v>
      </c>
      <c r="G40" s="705">
        <v>2.07E-2</v>
      </c>
      <c r="H40" s="705">
        <v>2.1299999999999999E-2</v>
      </c>
      <c r="I40" s="705">
        <v>2.2170208772049633E-2</v>
      </c>
      <c r="J40" s="705">
        <v>2.1600878721983151E-2</v>
      </c>
      <c r="K40" s="706">
        <v>2.0189296062793967E-2</v>
      </c>
      <c r="L40" s="707">
        <v>1.7983528778088981E-2</v>
      </c>
      <c r="O40" s="928"/>
    </row>
    <row r="41" spans="2:16" s="9" customFormat="1" ht="23.25" customHeight="1" x14ac:dyDescent="0.25">
      <c r="B41" s="691" t="s">
        <v>396</v>
      </c>
      <c r="C41" s="692">
        <v>6.5171258055481962E-2</v>
      </c>
      <c r="D41" s="692">
        <v>6.5429217519622399E-2</v>
      </c>
      <c r="E41" s="692">
        <v>6.3833707033967485E-2</v>
      </c>
      <c r="F41" s="692">
        <v>6.5566377745863616E-2</v>
      </c>
      <c r="G41" s="692">
        <v>6.6074006964766188E-2</v>
      </c>
      <c r="H41" s="692">
        <v>6.2635491338182345E-2</v>
      </c>
      <c r="I41" s="692">
        <v>5.7548699279133135E-2</v>
      </c>
      <c r="J41" s="694">
        <v>5.8657740285411222E-2</v>
      </c>
      <c r="K41" s="695">
        <v>5.8396672980830677E-2</v>
      </c>
      <c r="L41" s="817">
        <v>5.6961365731792814E-2</v>
      </c>
    </row>
    <row r="42" spans="2:16" s="9" customFormat="1" ht="11.25" customHeight="1" x14ac:dyDescent="0.4">
      <c r="B42" s="344"/>
      <c r="C42" s="441"/>
      <c r="D42" s="441"/>
      <c r="E42" s="441"/>
      <c r="F42" s="441"/>
      <c r="G42" s="441"/>
      <c r="H42" s="441"/>
      <c r="I42" s="441"/>
      <c r="J42" s="441"/>
      <c r="K42" s="442"/>
      <c r="L42" s="443"/>
    </row>
    <row r="43" spans="2:16" s="9" customFormat="1" ht="24.75" customHeight="1" x14ac:dyDescent="0.25">
      <c r="B43" s="427" t="s">
        <v>171</v>
      </c>
      <c r="C43" s="438">
        <v>2.4186364552267556E-2</v>
      </c>
      <c r="D43" s="438">
        <v>2.5730816441364001E-2</v>
      </c>
      <c r="E43" s="438">
        <v>2.7206651241827556E-2</v>
      </c>
      <c r="F43" s="438">
        <v>2.774100684837344E-2</v>
      </c>
      <c r="G43" s="438">
        <v>2.7109835221081534E-2</v>
      </c>
      <c r="H43" s="438">
        <v>2.7427644583798531E-2</v>
      </c>
      <c r="I43" s="438">
        <v>2.7256105968659187E-2</v>
      </c>
      <c r="J43" s="438">
        <v>2.6014731183636831E-2</v>
      </c>
      <c r="K43" s="439">
        <v>2.444934036735277E-2</v>
      </c>
      <c r="L43" s="440">
        <v>2.3753196351874572E-2</v>
      </c>
    </row>
    <row r="44" spans="2:16" ht="24.75" customHeight="1" x14ac:dyDescent="0.25">
      <c r="B44" s="435" t="s">
        <v>427</v>
      </c>
      <c r="C44" s="422">
        <v>2.917648862280451E-2</v>
      </c>
      <c r="D44" s="422">
        <v>3.1338402508389207E-2</v>
      </c>
      <c r="E44" s="422">
        <v>3.2960999119294433E-2</v>
      </c>
      <c r="F44" s="422">
        <v>3.3307402014301282E-2</v>
      </c>
      <c r="G44" s="422">
        <v>3.2531039829843039E-2</v>
      </c>
      <c r="H44" s="422">
        <v>3.312506810691395E-2</v>
      </c>
      <c r="I44" s="422">
        <v>3.2802537964391122E-2</v>
      </c>
      <c r="J44" s="422">
        <v>3.0819292366616142E-2</v>
      </c>
      <c r="K44" s="436">
        <v>2.8702998960054005E-2</v>
      </c>
      <c r="L44" s="437">
        <v>2.8009969272141135E-2</v>
      </c>
    </row>
    <row r="45" spans="2:16" ht="11.25" customHeight="1" x14ac:dyDescent="0.25">
      <c r="B45" s="271"/>
      <c r="C45" s="271"/>
      <c r="D45" s="271"/>
      <c r="E45" s="271"/>
      <c r="F45" s="271"/>
      <c r="G45" s="271"/>
      <c r="H45" s="271"/>
      <c r="I45" s="271"/>
      <c r="J45" s="271"/>
      <c r="K45" s="271"/>
      <c r="L45" s="271"/>
    </row>
    <row r="46" spans="2:16" ht="18.75" customHeight="1" x14ac:dyDescent="0.25">
      <c r="B46" s="335" t="s">
        <v>195</v>
      </c>
      <c r="C46" s="334"/>
      <c r="D46" s="334"/>
      <c r="E46" s="334"/>
      <c r="F46" s="334"/>
      <c r="G46" s="334"/>
      <c r="H46" s="334"/>
      <c r="I46" s="334"/>
      <c r="J46" s="334"/>
      <c r="K46" s="334"/>
      <c r="L46" s="334"/>
    </row>
    <row r="47" spans="2:16" ht="18.75" customHeight="1" x14ac:dyDescent="0.25">
      <c r="B47" s="335" t="s">
        <v>196</v>
      </c>
      <c r="C47" s="334"/>
      <c r="D47" s="334"/>
      <c r="E47" s="334"/>
      <c r="F47" s="334"/>
      <c r="G47" s="334"/>
      <c r="H47" s="334"/>
      <c r="I47" s="334"/>
      <c r="J47" s="334"/>
      <c r="K47" s="334"/>
      <c r="L47" s="334"/>
    </row>
    <row r="48" spans="2:16" ht="18.75" customHeight="1" x14ac:dyDescent="0.25">
      <c r="B48" s="335" t="s">
        <v>628</v>
      </c>
      <c r="C48" s="334"/>
      <c r="D48" s="334"/>
      <c r="E48" s="334"/>
      <c r="F48" s="334"/>
      <c r="G48" s="334"/>
      <c r="H48" s="334"/>
      <c r="I48" s="334"/>
      <c r="J48" s="334"/>
      <c r="K48" s="334"/>
      <c r="L48" s="334"/>
    </row>
    <row r="49" spans="2:12" ht="27" customHeight="1" x14ac:dyDescent="0.25">
      <c r="B49" s="87"/>
      <c r="C49" s="37"/>
      <c r="D49" s="37"/>
      <c r="E49" s="37"/>
      <c r="F49" s="37"/>
      <c r="G49" s="37"/>
      <c r="H49" s="37"/>
      <c r="I49" s="37"/>
      <c r="J49" s="37"/>
      <c r="K49" s="37"/>
      <c r="L49" s="37"/>
    </row>
    <row r="50" spans="2:12" ht="34.5" customHeight="1" x14ac:dyDescent="0.25">
      <c r="B50" s="37"/>
      <c r="C50" s="37"/>
      <c r="D50" s="37"/>
      <c r="E50" s="37"/>
      <c r="F50" s="37"/>
      <c r="G50" s="37"/>
      <c r="H50" s="37"/>
      <c r="I50" s="37"/>
      <c r="J50" s="37"/>
      <c r="K50" s="37"/>
      <c r="L50" s="37"/>
    </row>
    <row r="51" spans="2:12" x14ac:dyDescent="0.25">
      <c r="B51" s="37"/>
      <c r="C51" s="37"/>
      <c r="D51" s="37"/>
      <c r="E51" s="37"/>
      <c r="F51" s="37"/>
      <c r="G51" s="37"/>
      <c r="H51" s="37"/>
      <c r="I51" s="37"/>
      <c r="J51" s="37"/>
      <c r="K51" s="37"/>
      <c r="L51" s="37"/>
    </row>
    <row r="52" spans="2:12" ht="24.75" customHeight="1" x14ac:dyDescent="0.25">
      <c r="B52" s="37"/>
      <c r="C52" s="37"/>
      <c r="D52" s="37"/>
      <c r="E52" s="37"/>
      <c r="F52" s="37"/>
      <c r="G52" s="37"/>
      <c r="H52" s="37"/>
      <c r="I52" s="37"/>
      <c r="J52" s="37"/>
      <c r="K52" s="37"/>
      <c r="L52" s="37"/>
    </row>
  </sheetData>
  <mergeCells count="1">
    <mergeCell ref="B5:L5"/>
  </mergeCells>
  <hyperlinks>
    <hyperlink ref="L2" location="'Cover '!A1" display="Back to Cover" xr:uid="{3863610A-EFDF-49AB-BA32-F7C5F2EB55D5}"/>
  </hyperlinks>
  <pageMargins left="0.7" right="0.7" top="0.75" bottom="0.75" header="0.3" footer="0.3"/>
  <pageSetup scale="51" orientation="landscape" r:id="rId1"/>
  <ignoredErrors>
    <ignoredError sqref="F24" 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C46CA-E650-42A2-AB1A-CEB202C7CCF8}">
  <sheetPr>
    <pageSetUpPr fitToPage="1"/>
  </sheetPr>
  <dimension ref="A1:S30"/>
  <sheetViews>
    <sheetView showGridLines="0" view="pageBreakPreview" zoomScale="80" zoomScaleNormal="90" zoomScaleSheetLayoutView="80" workbookViewId="0">
      <selection activeCell="B5" sqref="B5:M5"/>
    </sheetView>
  </sheetViews>
  <sheetFormatPr defaultColWidth="9.109375" defaultRowHeight="15.6" x14ac:dyDescent="0.25"/>
  <cols>
    <col min="1" max="1" width="2.44140625" style="6" customWidth="1"/>
    <col min="2" max="2" width="29.109375" style="6" customWidth="1"/>
    <col min="3" max="3" width="37.109375" style="6" customWidth="1"/>
    <col min="4" max="13" width="15.88671875" style="6" customWidth="1"/>
    <col min="14" max="14" width="2.44140625" style="6" customWidth="1"/>
    <col min="15" max="15" width="9.109375" style="6"/>
    <col min="16" max="16" width="13.109375" style="6" bestFit="1" customWidth="1"/>
    <col min="17" max="16384" width="9.109375" style="6"/>
  </cols>
  <sheetData>
    <row r="1" spans="1:19" ht="15.75" customHeight="1" x14ac:dyDescent="0.25"/>
    <row r="2" spans="1:19" ht="15.75" customHeight="1" x14ac:dyDescent="0.25">
      <c r="B2" s="271"/>
      <c r="C2" s="271"/>
      <c r="D2" s="119"/>
      <c r="E2" s="119"/>
      <c r="F2" s="119"/>
      <c r="G2" s="119"/>
      <c r="H2" s="119"/>
      <c r="I2" s="119"/>
      <c r="J2" s="119"/>
      <c r="K2" s="119"/>
      <c r="L2" s="119"/>
      <c r="M2" s="119" t="s">
        <v>20</v>
      </c>
    </row>
    <row r="3" spans="1:19" ht="15.75" customHeight="1" x14ac:dyDescent="0.25">
      <c r="B3" s="271"/>
      <c r="C3" s="271"/>
      <c r="D3" s="271"/>
      <c r="E3" s="271"/>
      <c r="F3" s="271"/>
      <c r="G3" s="271"/>
      <c r="H3" s="271"/>
      <c r="I3" s="271"/>
      <c r="J3" s="271"/>
      <c r="K3" s="271"/>
      <c r="L3" s="271"/>
      <c r="M3" s="271"/>
    </row>
    <row r="4" spans="1:19" ht="15.75" customHeight="1" x14ac:dyDescent="0.25">
      <c r="B4" s="271"/>
      <c r="C4" s="271"/>
      <c r="D4" s="271"/>
      <c r="E4" s="271"/>
      <c r="F4" s="271"/>
      <c r="G4" s="271"/>
      <c r="H4" s="271"/>
      <c r="I4" s="271"/>
      <c r="J4" s="271"/>
      <c r="K4" s="271"/>
      <c r="L4" s="271"/>
      <c r="M4" s="271"/>
    </row>
    <row r="5" spans="1:19" s="17" customFormat="1" ht="27.6" x14ac:dyDescent="0.25">
      <c r="A5" s="16"/>
      <c r="B5" s="937" t="s">
        <v>117</v>
      </c>
      <c r="C5" s="937"/>
      <c r="D5" s="937"/>
      <c r="E5" s="937"/>
      <c r="F5" s="937"/>
      <c r="G5" s="937"/>
      <c r="H5" s="937"/>
      <c r="I5" s="937"/>
      <c r="J5" s="937"/>
      <c r="K5" s="937"/>
      <c r="L5" s="937"/>
      <c r="M5" s="937"/>
    </row>
    <row r="6" spans="1:19" s="17" customFormat="1" ht="9" customHeight="1" x14ac:dyDescent="0.25">
      <c r="A6" s="16"/>
      <c r="B6" s="444"/>
      <c r="C6" s="444"/>
      <c r="D6" s="445"/>
      <c r="E6" s="445"/>
      <c r="F6" s="445"/>
      <c r="G6" s="445"/>
      <c r="H6" s="445"/>
      <c r="I6" s="445"/>
      <c r="J6" s="445"/>
      <c r="K6" s="445"/>
      <c r="L6" s="445"/>
      <c r="M6" s="445"/>
    </row>
    <row r="7" spans="1:19" s="17" customFormat="1" ht="15.75" customHeight="1" x14ac:dyDescent="0.25">
      <c r="A7" s="18"/>
      <c r="B7" s="446"/>
      <c r="C7" s="446"/>
      <c r="D7" s="445"/>
      <c r="E7" s="445"/>
      <c r="F7" s="445"/>
      <c r="G7" s="445"/>
      <c r="H7" s="445"/>
      <c r="I7" s="445"/>
      <c r="J7" s="445"/>
      <c r="K7" s="445"/>
      <c r="L7" s="445"/>
      <c r="M7" s="445"/>
    </row>
    <row r="8" spans="1:19" ht="15" customHeight="1" x14ac:dyDescent="0.25">
      <c r="B8" s="271"/>
      <c r="C8" s="271"/>
      <c r="D8" s="271"/>
      <c r="E8" s="271"/>
      <c r="F8" s="271"/>
      <c r="G8" s="271"/>
      <c r="H8" s="271"/>
      <c r="I8" s="271"/>
      <c r="J8" s="271"/>
      <c r="K8" s="271"/>
      <c r="L8" s="271"/>
      <c r="M8" s="271"/>
    </row>
    <row r="9" spans="1:19" s="7" customFormat="1" ht="33.75" customHeight="1" x14ac:dyDescent="0.25">
      <c r="B9" s="351" t="s">
        <v>0</v>
      </c>
      <c r="C9" s="449"/>
      <c r="D9" s="352" t="s">
        <v>181</v>
      </c>
      <c r="E9" s="352" t="s">
        <v>184</v>
      </c>
      <c r="F9" s="352" t="s">
        <v>192</v>
      </c>
      <c r="G9" s="352" t="s">
        <v>310</v>
      </c>
      <c r="H9" s="352" t="s">
        <v>318</v>
      </c>
      <c r="I9" s="352" t="s">
        <v>416</v>
      </c>
      <c r="J9" s="352" t="s">
        <v>470</v>
      </c>
      <c r="K9" s="352" t="s">
        <v>501</v>
      </c>
      <c r="L9" s="353" t="s">
        <v>561</v>
      </c>
      <c r="M9" s="354" t="s">
        <v>593</v>
      </c>
    </row>
    <row r="10" spans="1:19" s="9" customFormat="1" ht="24.75" customHeight="1" x14ac:dyDescent="0.25">
      <c r="B10" s="944" t="s">
        <v>77</v>
      </c>
      <c r="C10" s="333" t="s">
        <v>74</v>
      </c>
      <c r="D10" s="411">
        <v>20.966668500000001</v>
      </c>
      <c r="E10" s="411">
        <v>30.556121590000004</v>
      </c>
      <c r="F10" s="414">
        <v>21.575059740000047</v>
      </c>
      <c r="G10" s="411">
        <v>20.961328649999952</v>
      </c>
      <c r="H10" s="411">
        <v>20.989965670000007</v>
      </c>
      <c r="I10" s="414">
        <v>29.994878919999987</v>
      </c>
      <c r="J10" s="414">
        <v>26.907485699999935</v>
      </c>
      <c r="K10" s="414">
        <v>31.792947810000019</v>
      </c>
      <c r="L10" s="903">
        <v>30.920775140000032</v>
      </c>
      <c r="M10" s="415">
        <v>29.344298159999965</v>
      </c>
      <c r="O10" s="100"/>
      <c r="P10" s="799"/>
      <c r="Q10" s="40"/>
      <c r="R10" s="40"/>
      <c r="S10" s="40"/>
    </row>
    <row r="11" spans="1:19" s="9" customFormat="1" ht="24.75" customHeight="1" x14ac:dyDescent="0.25">
      <c r="B11" s="945"/>
      <c r="C11" s="333" t="s">
        <v>261</v>
      </c>
      <c r="D11" s="411">
        <v>11.111915479999999</v>
      </c>
      <c r="E11" s="411">
        <v>11.301658049999993</v>
      </c>
      <c r="F11" s="414">
        <v>12.056728299999982</v>
      </c>
      <c r="G11" s="411">
        <v>12.910945210000031</v>
      </c>
      <c r="H11" s="411">
        <v>12.373387230000002</v>
      </c>
      <c r="I11" s="414">
        <v>12.622917339999987</v>
      </c>
      <c r="J11" s="414">
        <v>13.086975720000007</v>
      </c>
      <c r="K11" s="414">
        <v>12.739504220000022</v>
      </c>
      <c r="L11" s="903">
        <v>12.553414919999998</v>
      </c>
      <c r="M11" s="415">
        <v>12.773198170000009</v>
      </c>
      <c r="O11" s="100"/>
      <c r="P11" s="799"/>
      <c r="Q11" s="40"/>
      <c r="R11" s="40"/>
      <c r="S11" s="40"/>
    </row>
    <row r="12" spans="1:19" s="9" customFormat="1" ht="24.75" customHeight="1" x14ac:dyDescent="0.25">
      <c r="B12" s="945"/>
      <c r="C12" s="333" t="s">
        <v>262</v>
      </c>
      <c r="D12" s="411">
        <v>0.26500000000000001</v>
      </c>
      <c r="E12" s="411">
        <v>0.12077125000000001</v>
      </c>
      <c r="F12" s="414">
        <v>2.1760299999999999</v>
      </c>
      <c r="G12" s="411">
        <v>3.12940394</v>
      </c>
      <c r="H12" s="411">
        <v>4.9715417300000011</v>
      </c>
      <c r="I12" s="414">
        <v>0.66665640000000037</v>
      </c>
      <c r="J12" s="414">
        <v>0.255</v>
      </c>
      <c r="K12" s="414">
        <v>0.616313</v>
      </c>
      <c r="L12" s="903">
        <v>1.8748244199999999</v>
      </c>
      <c r="M12" s="415">
        <v>3.7694388499999993</v>
      </c>
      <c r="O12" s="100"/>
      <c r="P12" s="799"/>
      <c r="Q12" s="40"/>
      <c r="R12" s="40"/>
      <c r="S12" s="40"/>
    </row>
    <row r="13" spans="1:19" s="9" customFormat="1" ht="24.75" customHeight="1" x14ac:dyDescent="0.25">
      <c r="B13" s="946" t="s">
        <v>78</v>
      </c>
      <c r="C13" s="450" t="s">
        <v>75</v>
      </c>
      <c r="D13" s="451">
        <v>11.249653819999995</v>
      </c>
      <c r="E13" s="451">
        <v>11.652913560000009</v>
      </c>
      <c r="F13" s="452">
        <v>11.425354350000012</v>
      </c>
      <c r="G13" s="451">
        <v>15.388913589999968</v>
      </c>
      <c r="H13" s="451">
        <v>13.70282772</v>
      </c>
      <c r="I13" s="452">
        <v>14.253332159999999</v>
      </c>
      <c r="J13" s="452">
        <v>13.307822639999996</v>
      </c>
      <c r="K13" s="452">
        <v>21.014092510000008</v>
      </c>
      <c r="L13" s="906">
        <v>17.809583720000006</v>
      </c>
      <c r="M13" s="453">
        <v>18.022123470000007</v>
      </c>
      <c r="O13" s="100"/>
      <c r="P13" s="799"/>
      <c r="Q13" s="40"/>
      <c r="R13" s="40"/>
      <c r="S13" s="40"/>
    </row>
    <row r="14" spans="1:19" s="9" customFormat="1" ht="24.75" customHeight="1" x14ac:dyDescent="0.25">
      <c r="B14" s="945"/>
      <c r="C14" s="333" t="s">
        <v>263</v>
      </c>
      <c r="D14" s="411">
        <v>7.3991201240846483</v>
      </c>
      <c r="E14" s="411">
        <v>8.6718071559153618</v>
      </c>
      <c r="F14" s="414">
        <v>8.109751829999988</v>
      </c>
      <c r="G14" s="411">
        <v>12.261743939999986</v>
      </c>
      <c r="H14" s="411">
        <v>11.76488726</v>
      </c>
      <c r="I14" s="414">
        <v>12.357322129999993</v>
      </c>
      <c r="J14" s="414">
        <v>13.371358660000011</v>
      </c>
      <c r="K14" s="414">
        <v>14.410830580000018</v>
      </c>
      <c r="L14" s="903">
        <v>16.404496149999993</v>
      </c>
      <c r="M14" s="415">
        <v>18.143255880000005</v>
      </c>
      <c r="O14" s="100"/>
      <c r="P14" s="799"/>
      <c r="Q14" s="40"/>
      <c r="R14" s="40"/>
      <c r="S14" s="40"/>
    </row>
    <row r="15" spans="1:19" s="9" customFormat="1" ht="24.75" customHeight="1" x14ac:dyDescent="0.25">
      <c r="B15" s="947"/>
      <c r="C15" s="454" t="s">
        <v>76</v>
      </c>
      <c r="D15" s="455">
        <v>4.7348641299999983</v>
      </c>
      <c r="E15" s="455">
        <v>5.4350627300000047</v>
      </c>
      <c r="F15" s="456">
        <v>5.8839429600000059</v>
      </c>
      <c r="G15" s="455">
        <v>3.9372541899999978</v>
      </c>
      <c r="H15" s="455">
        <v>7.338402010000002</v>
      </c>
      <c r="I15" s="456">
        <v>6.2281842699999928</v>
      </c>
      <c r="J15" s="456">
        <v>5.0567845400000087</v>
      </c>
      <c r="K15" s="456">
        <v>6.4533602000000005</v>
      </c>
      <c r="L15" s="907">
        <v>8.0315124899999955</v>
      </c>
      <c r="M15" s="457">
        <v>8.0722621400000172</v>
      </c>
      <c r="O15" s="100"/>
      <c r="P15" s="799"/>
      <c r="Q15" s="40"/>
      <c r="R15" s="40"/>
      <c r="S15" s="40"/>
    </row>
    <row r="16" spans="1:19" s="9" customFormat="1" ht="24.75" customHeight="1" x14ac:dyDescent="0.4">
      <c r="B16" s="946" t="s">
        <v>323</v>
      </c>
      <c r="C16" s="711" t="s">
        <v>264</v>
      </c>
      <c r="D16" s="411">
        <v>21.251055369999989</v>
      </c>
      <c r="E16" s="411">
        <v>23.764253470000032</v>
      </c>
      <c r="F16" s="414">
        <v>27.457499059999979</v>
      </c>
      <c r="G16" s="411">
        <v>26.104076310000053</v>
      </c>
      <c r="H16" s="411">
        <v>25.529238529999983</v>
      </c>
      <c r="I16" s="414">
        <v>32.068742939999986</v>
      </c>
      <c r="J16" s="414">
        <v>31.20381618572452</v>
      </c>
      <c r="K16" s="414">
        <v>26.320772274275505</v>
      </c>
      <c r="L16" s="903">
        <v>20.33617074999999</v>
      </c>
      <c r="M16" s="415">
        <v>21.319999100000011</v>
      </c>
      <c r="O16" s="100"/>
      <c r="P16" s="799"/>
      <c r="Q16" s="40"/>
      <c r="R16" s="100"/>
      <c r="S16" s="40"/>
    </row>
    <row r="17" spans="2:19" s="9" customFormat="1" ht="24.75" customHeight="1" x14ac:dyDescent="0.4">
      <c r="B17" s="944"/>
      <c r="C17" s="711" t="s">
        <v>629</v>
      </c>
      <c r="D17" s="411">
        <v>10.43776474</v>
      </c>
      <c r="E17" s="411">
        <v>9.3437632799999939</v>
      </c>
      <c r="F17" s="414">
        <v>8.9619188399999974</v>
      </c>
      <c r="G17" s="411">
        <v>12.196006300000025</v>
      </c>
      <c r="H17" s="411">
        <v>12.538069229999987</v>
      </c>
      <c r="I17" s="411">
        <v>31.883706760000038</v>
      </c>
      <c r="J17" s="414">
        <v>17.627682088499995</v>
      </c>
      <c r="K17" s="414">
        <v>13.972654061499908</v>
      </c>
      <c r="L17" s="903">
        <v>16.90118278000001</v>
      </c>
      <c r="M17" s="415">
        <v>18.847312180000007</v>
      </c>
      <c r="O17" s="100"/>
      <c r="P17" s="799"/>
      <c r="Q17" s="40"/>
      <c r="R17" s="100"/>
      <c r="S17" s="40"/>
    </row>
    <row r="18" spans="2:19" s="9" customFormat="1" ht="24.75" customHeight="1" x14ac:dyDescent="0.4">
      <c r="B18" s="944"/>
      <c r="C18" s="711" t="s">
        <v>79</v>
      </c>
      <c r="D18" s="411">
        <v>5.6931923900000108</v>
      </c>
      <c r="E18" s="411">
        <v>6.2409262399999825</v>
      </c>
      <c r="F18" s="414">
        <v>6.2363567399999917</v>
      </c>
      <c r="G18" s="411">
        <v>3.3024689200000137</v>
      </c>
      <c r="H18" s="411">
        <v>5.7502876800000005</v>
      </c>
      <c r="I18" s="414">
        <v>6.2084622799999822</v>
      </c>
      <c r="J18" s="414">
        <v>4.9752584600000045</v>
      </c>
      <c r="K18" s="414">
        <v>5.7305902500000192</v>
      </c>
      <c r="L18" s="903">
        <v>3.0884426099999991</v>
      </c>
      <c r="M18" s="415">
        <v>2.1799628900000041</v>
      </c>
      <c r="O18" s="100"/>
      <c r="P18" s="799"/>
      <c r="Q18" s="40"/>
      <c r="R18" s="40"/>
      <c r="S18" s="40"/>
    </row>
    <row r="19" spans="2:19" s="9" customFormat="1" ht="24.75" customHeight="1" x14ac:dyDescent="0.4">
      <c r="B19" s="944"/>
      <c r="C19" s="711" t="s">
        <v>265</v>
      </c>
      <c r="D19" s="411">
        <v>7.1370408999999979</v>
      </c>
      <c r="E19" s="411">
        <v>7.6781423000000011</v>
      </c>
      <c r="F19" s="414">
        <v>8.7678750200000035</v>
      </c>
      <c r="G19" s="411">
        <v>7.4976376300000007</v>
      </c>
      <c r="H19" s="411">
        <v>6.9012271099999998</v>
      </c>
      <c r="I19" s="414">
        <v>8.0802019100000049</v>
      </c>
      <c r="J19" s="414">
        <v>7.6880291799999991</v>
      </c>
      <c r="K19" s="414">
        <v>7.1397608500000098</v>
      </c>
      <c r="L19" s="903">
        <v>6.4498443600000002</v>
      </c>
      <c r="M19" s="415">
        <v>7.8609721200000005</v>
      </c>
      <c r="O19" s="100"/>
      <c r="P19" s="799"/>
      <c r="Q19" s="40"/>
      <c r="R19" s="40"/>
      <c r="S19" s="40"/>
    </row>
    <row r="20" spans="2:19" ht="24.75" customHeight="1" x14ac:dyDescent="0.4">
      <c r="B20" s="948"/>
      <c r="C20" s="711" t="s">
        <v>41</v>
      </c>
      <c r="D20" s="411">
        <v>4.4449892100000055</v>
      </c>
      <c r="E20" s="411">
        <v>5.7185073800000046</v>
      </c>
      <c r="F20" s="414">
        <v>7.6650106600000045</v>
      </c>
      <c r="G20" s="411">
        <v>4.917006099999977</v>
      </c>
      <c r="H20" s="411">
        <v>3.5131142099999968</v>
      </c>
      <c r="I20" s="414">
        <v>4.9890183500000047</v>
      </c>
      <c r="J20" s="414">
        <v>1.0994184199999999</v>
      </c>
      <c r="K20" s="414">
        <v>1.7304770199999902</v>
      </c>
      <c r="L20" s="903">
        <v>2.900739730000002</v>
      </c>
      <c r="M20" s="415">
        <v>2.1675045799999939</v>
      </c>
      <c r="O20" s="100"/>
      <c r="P20" s="799"/>
      <c r="Q20" s="40"/>
      <c r="R20" s="40"/>
      <c r="S20" s="40"/>
    </row>
    <row r="21" spans="2:19" s="9" customFormat="1" ht="24.75" customHeight="1" x14ac:dyDescent="0.25">
      <c r="B21" s="463" t="s">
        <v>266</v>
      </c>
      <c r="C21" s="464"/>
      <c r="D21" s="465">
        <v>16.956</v>
      </c>
      <c r="E21" s="465">
        <v>20.922000000000001</v>
      </c>
      <c r="F21" s="466">
        <v>19.670000000000002</v>
      </c>
      <c r="G21" s="465">
        <v>20.99</v>
      </c>
      <c r="H21" s="465">
        <v>19.946999999999999</v>
      </c>
      <c r="I21" s="466">
        <v>19.885999999999999</v>
      </c>
      <c r="J21" s="466">
        <v>21.317130179999999</v>
      </c>
      <c r="K21" s="466">
        <v>25.41</v>
      </c>
      <c r="L21" s="908">
        <v>22.512</v>
      </c>
      <c r="M21" s="467">
        <v>23.032</v>
      </c>
      <c r="O21" s="100"/>
      <c r="P21" s="799"/>
      <c r="Q21" s="40"/>
      <c r="R21" s="40"/>
      <c r="S21" s="40"/>
    </row>
    <row r="22" spans="2:19" ht="24.75" customHeight="1" x14ac:dyDescent="0.25">
      <c r="B22" s="458" t="s">
        <v>80</v>
      </c>
      <c r="C22" s="459"/>
      <c r="D22" s="460">
        <f t="shared" ref="D22:G22" si="0">SUM(D10:D21)</f>
        <v>121.64726466408466</v>
      </c>
      <c r="E22" s="460">
        <f t="shared" si="0"/>
        <v>141.40592700591537</v>
      </c>
      <c r="F22" s="460">
        <f t="shared" si="0"/>
        <v>139.98552750000002</v>
      </c>
      <c r="G22" s="460">
        <f t="shared" si="0"/>
        <v>143.59678478000001</v>
      </c>
      <c r="H22" s="460">
        <f>SUM(H10:H21)</f>
        <v>145.31994837999997</v>
      </c>
      <c r="I22" s="460">
        <f t="shared" ref="I22" si="1">SUM(I10:I21)</f>
        <v>179.23942345999998</v>
      </c>
      <c r="J22" s="460">
        <f t="shared" ref="J22:M22" si="2">SUM(J10:J21)</f>
        <v>155.89676177422447</v>
      </c>
      <c r="K22" s="460">
        <f t="shared" si="2"/>
        <v>167.33130277577553</v>
      </c>
      <c r="L22" s="461">
        <f t="shared" si="2"/>
        <v>159.78298707000005</v>
      </c>
      <c r="M22" s="462">
        <f t="shared" si="2"/>
        <v>165.53232754000007</v>
      </c>
      <c r="O22" s="100"/>
      <c r="P22" s="799"/>
      <c r="Q22" s="40"/>
      <c r="R22" s="40"/>
      <c r="S22" s="40"/>
    </row>
    <row r="23" spans="2:19" ht="15" customHeight="1" x14ac:dyDescent="0.25">
      <c r="B23" s="447"/>
      <c r="C23" s="447"/>
      <c r="D23" s="448"/>
      <c r="E23" s="448"/>
      <c r="F23" s="448"/>
      <c r="G23" s="448"/>
      <c r="H23" s="448"/>
      <c r="I23" s="448"/>
      <c r="J23" s="448"/>
      <c r="K23" s="448"/>
      <c r="L23" s="448"/>
      <c r="M23" s="448"/>
      <c r="P23" s="40"/>
      <c r="Q23" s="40"/>
      <c r="R23" s="40"/>
      <c r="S23" s="40"/>
    </row>
    <row r="24" spans="2:19" ht="28.5" customHeight="1" x14ac:dyDescent="0.25">
      <c r="B24" s="943"/>
      <c r="C24" s="943"/>
      <c r="D24" s="943"/>
      <c r="E24" s="943"/>
      <c r="F24" s="943"/>
      <c r="G24" s="943"/>
      <c r="H24" s="943"/>
      <c r="I24" s="943"/>
      <c r="J24" s="943"/>
      <c r="K24" s="943"/>
      <c r="L24" s="943"/>
      <c r="M24" s="943"/>
      <c r="P24" s="40"/>
      <c r="Q24" s="40"/>
      <c r="R24" s="40"/>
      <c r="S24" s="40"/>
    </row>
    <row r="25" spans="2:19" ht="28.5" customHeight="1" x14ac:dyDescent="0.25">
      <c r="B25" s="943"/>
      <c r="C25" s="943"/>
      <c r="D25" s="170"/>
      <c r="E25" s="170"/>
      <c r="F25" s="170"/>
      <c r="G25" s="170"/>
      <c r="H25" s="170"/>
      <c r="I25" s="170"/>
      <c r="J25" s="170"/>
      <c r="K25" s="170"/>
      <c r="L25" s="170"/>
      <c r="M25" s="170"/>
      <c r="P25" s="40"/>
      <c r="Q25" s="40"/>
      <c r="R25" s="40"/>
      <c r="S25" s="40"/>
    </row>
    <row r="26" spans="2:19" ht="11.25" customHeight="1" x14ac:dyDescent="0.25">
      <c r="P26" s="40"/>
      <c r="Q26" s="40"/>
      <c r="R26" s="40"/>
      <c r="S26" s="40"/>
    </row>
    <row r="27" spans="2:19" x14ac:dyDescent="0.25">
      <c r="B27" s="36"/>
      <c r="C27" s="36"/>
      <c r="D27" s="37"/>
      <c r="E27" s="37"/>
      <c r="F27" s="37"/>
      <c r="G27" s="37"/>
      <c r="H27" s="37"/>
      <c r="I27" s="37"/>
      <c r="J27" s="37"/>
      <c r="K27" s="37"/>
      <c r="L27" s="37"/>
      <c r="M27" s="37"/>
      <c r="P27" s="40"/>
      <c r="Q27" s="40"/>
      <c r="R27" s="40"/>
      <c r="S27" s="40"/>
    </row>
    <row r="28" spans="2:19" ht="34.5" customHeight="1" x14ac:dyDescent="0.25">
      <c r="B28" s="37"/>
      <c r="C28" s="37"/>
      <c r="D28" s="65"/>
      <c r="E28" s="65"/>
      <c r="F28" s="65"/>
      <c r="G28" s="65"/>
      <c r="H28" s="65"/>
      <c r="I28" s="65"/>
      <c r="J28" s="65"/>
      <c r="K28" s="65"/>
      <c r="L28" s="65"/>
      <c r="M28" s="37"/>
      <c r="P28" s="40"/>
      <c r="Q28" s="40"/>
      <c r="R28" s="40"/>
      <c r="S28" s="40"/>
    </row>
    <row r="29" spans="2:19" x14ac:dyDescent="0.25">
      <c r="B29" s="37"/>
      <c r="C29" s="37"/>
      <c r="D29" s="37"/>
      <c r="E29" s="37"/>
      <c r="F29" s="37"/>
      <c r="G29" s="37"/>
      <c r="H29" s="37"/>
      <c r="I29" s="37"/>
      <c r="J29" s="37"/>
      <c r="K29" s="37"/>
      <c r="L29" s="37"/>
      <c r="M29" s="37"/>
    </row>
    <row r="30" spans="2:19" ht="24.75" customHeight="1" x14ac:dyDescent="0.25">
      <c r="B30" s="37"/>
      <c r="C30" s="37"/>
      <c r="D30" s="37"/>
      <c r="E30" s="37"/>
      <c r="F30" s="37"/>
      <c r="G30" s="37"/>
      <c r="H30" s="37"/>
      <c r="I30" s="37"/>
      <c r="J30" s="37"/>
      <c r="K30" s="37"/>
      <c r="L30" s="37"/>
      <c r="M30" s="37"/>
    </row>
  </sheetData>
  <mergeCells count="6">
    <mergeCell ref="B5:M5"/>
    <mergeCell ref="B25:C25"/>
    <mergeCell ref="B10:B12"/>
    <mergeCell ref="B13:B15"/>
    <mergeCell ref="B16:B20"/>
    <mergeCell ref="B24:M24"/>
  </mergeCells>
  <hyperlinks>
    <hyperlink ref="M2" location="'Cover '!A1" display="Back to Cover" xr:uid="{C5603B20-4257-40A1-AF78-FB7D46DFECC0}"/>
  </hyperlinks>
  <pageMargins left="0.7" right="0.7" top="0.75" bottom="0.75" header="0.3" footer="0.3"/>
  <pageSetup scale="54"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4F27E-4884-4F42-9563-FB4DB840E220}">
  <sheetPr>
    <pageSetUpPr fitToPage="1"/>
  </sheetPr>
  <dimension ref="A1:Q31"/>
  <sheetViews>
    <sheetView showGridLines="0" view="pageBreakPreview" zoomScale="80" zoomScaleNormal="90" zoomScaleSheetLayoutView="80" workbookViewId="0">
      <selection activeCell="B5" sqref="B5:L5"/>
    </sheetView>
  </sheetViews>
  <sheetFormatPr defaultColWidth="9.109375" defaultRowHeight="15.6" x14ac:dyDescent="0.25"/>
  <cols>
    <col min="1" max="1" width="2.44140625" style="6" customWidth="1"/>
    <col min="2" max="2" width="61.33203125" style="6" customWidth="1"/>
    <col min="3" max="12" width="15.88671875" style="6" customWidth="1"/>
    <col min="13" max="13" width="2.44140625" style="6" customWidth="1"/>
    <col min="14" max="16384" width="9.109375" style="6"/>
  </cols>
  <sheetData>
    <row r="1" spans="1:17" ht="15.75" customHeight="1" x14ac:dyDescent="0.25"/>
    <row r="2" spans="1:17" ht="15.75" customHeight="1" x14ac:dyDescent="0.25">
      <c r="B2" s="117"/>
      <c r="C2" s="120"/>
      <c r="D2" s="120"/>
      <c r="E2" s="120"/>
      <c r="F2" s="120"/>
      <c r="G2" s="120"/>
      <c r="H2" s="120"/>
      <c r="I2" s="120"/>
      <c r="J2" s="120"/>
      <c r="K2" s="120"/>
      <c r="L2" s="119" t="s">
        <v>20</v>
      </c>
    </row>
    <row r="3" spans="1:17" ht="15.75" customHeight="1" x14ac:dyDescent="0.25">
      <c r="B3" s="117"/>
      <c r="C3" s="117"/>
      <c r="D3" s="117"/>
      <c r="E3" s="117"/>
      <c r="F3" s="117"/>
      <c r="G3" s="117"/>
      <c r="H3" s="117"/>
      <c r="I3" s="117"/>
      <c r="J3" s="117"/>
      <c r="K3" s="117"/>
      <c r="L3" s="117"/>
    </row>
    <row r="4" spans="1:17" ht="15.75" customHeight="1" x14ac:dyDescent="0.25">
      <c r="B4" s="117"/>
      <c r="C4" s="117"/>
      <c r="D4" s="117"/>
      <c r="E4" s="117"/>
      <c r="F4" s="117"/>
      <c r="G4" s="117"/>
      <c r="H4" s="117"/>
      <c r="I4" s="117"/>
      <c r="J4" s="117"/>
      <c r="K4" s="117"/>
      <c r="L4" s="117"/>
    </row>
    <row r="5" spans="1:17" s="17" customFormat="1" ht="27.6" x14ac:dyDescent="0.25">
      <c r="A5" s="16"/>
      <c r="B5" s="937" t="s">
        <v>446</v>
      </c>
      <c r="C5" s="941"/>
      <c r="D5" s="941"/>
      <c r="E5" s="941"/>
      <c r="F5" s="941"/>
      <c r="G5" s="941"/>
      <c r="H5" s="941"/>
      <c r="I5" s="941"/>
      <c r="J5" s="941"/>
      <c r="K5" s="941"/>
      <c r="L5" s="941"/>
    </row>
    <row r="6" spans="1:17" s="17" customFormat="1" ht="9" customHeight="1" x14ac:dyDescent="0.25">
      <c r="A6" s="16"/>
      <c r="B6" s="124"/>
      <c r="C6" s="123"/>
      <c r="D6" s="123"/>
      <c r="E6" s="123"/>
      <c r="F6" s="123"/>
      <c r="G6" s="123"/>
      <c r="H6" s="123"/>
      <c r="I6" s="123"/>
      <c r="J6" s="123"/>
      <c r="K6" s="123"/>
      <c r="L6" s="123"/>
    </row>
    <row r="7" spans="1:17" s="17" customFormat="1" ht="16.5" customHeight="1" x14ac:dyDescent="0.25">
      <c r="A7" s="16"/>
      <c r="B7" s="145" t="s">
        <v>0</v>
      </c>
      <c r="C7" s="445"/>
      <c r="D7" s="445"/>
      <c r="E7" s="445"/>
      <c r="F7" s="445"/>
      <c r="G7" s="445"/>
      <c r="H7" s="445"/>
      <c r="I7" s="445"/>
      <c r="J7" s="445"/>
      <c r="K7" s="445"/>
      <c r="L7" s="445"/>
    </row>
    <row r="8" spans="1:17" s="17" customFormat="1" ht="22.5" customHeight="1" x14ac:dyDescent="0.25">
      <c r="A8" s="16"/>
      <c r="B8" s="310" t="s">
        <v>306</v>
      </c>
      <c r="C8" s="352" t="s">
        <v>181</v>
      </c>
      <c r="D8" s="352" t="s">
        <v>184</v>
      </c>
      <c r="E8" s="352" t="s">
        <v>192</v>
      </c>
      <c r="F8" s="352" t="s">
        <v>310</v>
      </c>
      <c r="G8" s="352" t="s">
        <v>318</v>
      </c>
      <c r="H8" s="352" t="s">
        <v>416</v>
      </c>
      <c r="I8" s="352" t="s">
        <v>470</v>
      </c>
      <c r="J8" s="352" t="s">
        <v>501</v>
      </c>
      <c r="K8" s="353" t="s">
        <v>561</v>
      </c>
      <c r="L8" s="354" t="s">
        <v>593</v>
      </c>
    </row>
    <row r="9" spans="1:17" s="17" customFormat="1" ht="22.5" customHeight="1" x14ac:dyDescent="0.25">
      <c r="A9" s="16"/>
      <c r="B9" s="317" t="s">
        <v>200</v>
      </c>
      <c r="C9" s="149">
        <v>93.546999999999997</v>
      </c>
      <c r="D9" s="149">
        <v>94.395492999999988</v>
      </c>
      <c r="E9" s="150">
        <v>94.291753999999997</v>
      </c>
      <c r="F9" s="149">
        <v>104.846</v>
      </c>
      <c r="G9" s="149">
        <v>91.264696119999996</v>
      </c>
      <c r="H9" s="150">
        <v>96.511590500000011</v>
      </c>
      <c r="I9" s="150">
        <v>99.817747249999996</v>
      </c>
      <c r="J9" s="150">
        <v>113.06530776</v>
      </c>
      <c r="K9" s="824">
        <v>99.093000000000004</v>
      </c>
      <c r="L9" s="207">
        <v>103.46299999999999</v>
      </c>
    </row>
    <row r="10" spans="1:17" s="17" customFormat="1" ht="22.5" customHeight="1" x14ac:dyDescent="0.25">
      <c r="A10" s="16"/>
      <c r="B10" s="317" t="s">
        <v>201</v>
      </c>
      <c r="C10" s="149">
        <v>3.1720000000000002</v>
      </c>
      <c r="D10" s="149">
        <v>2.1745070000000002</v>
      </c>
      <c r="E10" s="150">
        <v>1.066246</v>
      </c>
      <c r="F10" s="149">
        <v>55.484999999999999</v>
      </c>
      <c r="G10" s="149">
        <v>9.6033038800000003</v>
      </c>
      <c r="H10" s="150">
        <v>4.2904095</v>
      </c>
      <c r="I10" s="150">
        <v>1.837108</v>
      </c>
      <c r="J10" s="150">
        <v>38.653692239999998</v>
      </c>
      <c r="K10" s="824">
        <v>0</v>
      </c>
      <c r="L10" s="207">
        <v>0</v>
      </c>
    </row>
    <row r="11" spans="1:17" s="17" customFormat="1" ht="22.5" customHeight="1" x14ac:dyDescent="0.25">
      <c r="A11" s="16"/>
      <c r="B11" s="317" t="s">
        <v>428</v>
      </c>
      <c r="C11" s="149"/>
      <c r="D11" s="149"/>
      <c r="E11" s="150">
        <v>-15</v>
      </c>
      <c r="F11" s="149">
        <f>4.396+3.768</f>
        <v>8.1639999999999997</v>
      </c>
      <c r="G11" s="149"/>
      <c r="H11" s="150"/>
      <c r="I11" s="150"/>
      <c r="J11" s="150"/>
      <c r="K11" s="824"/>
      <c r="L11" s="207"/>
    </row>
    <row r="12" spans="1:17" s="17" customFormat="1" ht="22.5" customHeight="1" x14ac:dyDescent="0.25">
      <c r="A12" s="16"/>
      <c r="B12" s="469" t="s">
        <v>80</v>
      </c>
      <c r="C12" s="470">
        <f t="shared" ref="C12:D12" si="0">C9+C10+C11</f>
        <v>96.718999999999994</v>
      </c>
      <c r="D12" s="470">
        <f t="shared" si="0"/>
        <v>96.57</v>
      </c>
      <c r="E12" s="470">
        <f t="shared" ref="E12:I12" si="1">E9+E10+E11</f>
        <v>80.358000000000004</v>
      </c>
      <c r="F12" s="470">
        <f t="shared" si="1"/>
        <v>168.495</v>
      </c>
      <c r="G12" s="470">
        <f t="shared" si="1"/>
        <v>100.86799999999999</v>
      </c>
      <c r="H12" s="470">
        <f t="shared" si="1"/>
        <v>100.80200000000001</v>
      </c>
      <c r="I12" s="470">
        <f t="shared" si="1"/>
        <v>101.65485525</v>
      </c>
      <c r="J12" s="470">
        <f t="shared" ref="J12" si="2">J9+J10+J11</f>
        <v>151.71899999999999</v>
      </c>
      <c r="K12" s="471">
        <f t="shared" ref="K12:L12" si="3">K9+K10+K11</f>
        <v>99.093000000000004</v>
      </c>
      <c r="L12" s="472">
        <f t="shared" si="3"/>
        <v>103.46299999999999</v>
      </c>
      <c r="O12" s="101"/>
    </row>
    <row r="13" spans="1:17" ht="15" customHeight="1" x14ac:dyDescent="0.25">
      <c r="B13" s="271"/>
      <c r="C13" s="271"/>
      <c r="D13" s="271"/>
      <c r="E13" s="271"/>
      <c r="F13" s="271"/>
      <c r="G13" s="271"/>
      <c r="H13" s="271"/>
      <c r="I13" s="271"/>
      <c r="J13" s="271"/>
      <c r="K13" s="271"/>
      <c r="L13" s="271"/>
    </row>
    <row r="14" spans="1:17" s="7" customFormat="1" ht="33.75" customHeight="1" x14ac:dyDescent="0.25">
      <c r="B14" s="310" t="s">
        <v>307</v>
      </c>
      <c r="C14" s="352" t="s">
        <v>181</v>
      </c>
      <c r="D14" s="352" t="s">
        <v>184</v>
      </c>
      <c r="E14" s="352" t="s">
        <v>192</v>
      </c>
      <c r="F14" s="352" t="s">
        <v>310</v>
      </c>
      <c r="G14" s="352" t="s">
        <v>318</v>
      </c>
      <c r="H14" s="352" t="s">
        <v>416</v>
      </c>
      <c r="I14" s="352" t="s">
        <v>470</v>
      </c>
      <c r="J14" s="352" t="s">
        <v>501</v>
      </c>
      <c r="K14" s="353" t="s">
        <v>561</v>
      </c>
      <c r="L14" s="354" t="s">
        <v>593</v>
      </c>
    </row>
    <row r="15" spans="1:17" s="9" customFormat="1" ht="24.75" customHeight="1" x14ac:dyDescent="0.25">
      <c r="B15" s="148" t="s">
        <v>81</v>
      </c>
      <c r="C15" s="411">
        <v>8.0531509700000008</v>
      </c>
      <c r="D15" s="411">
        <v>7.6713768600000005</v>
      </c>
      <c r="E15" s="414">
        <v>8.8783103200000024</v>
      </c>
      <c r="F15" s="411">
        <v>5.5882152099999871</v>
      </c>
      <c r="G15" s="411">
        <v>6.5122675299999999</v>
      </c>
      <c r="H15" s="414">
        <v>6.7163214799999986</v>
      </c>
      <c r="I15" s="414">
        <v>6.6413637200000029</v>
      </c>
      <c r="J15" s="414">
        <v>5.841734559999999</v>
      </c>
      <c r="K15" s="903">
        <v>6.6830210599999997</v>
      </c>
      <c r="L15" s="415">
        <v>6.921431290000001</v>
      </c>
      <c r="N15" s="38"/>
      <c r="O15" s="799"/>
      <c r="P15" s="799"/>
      <c r="Q15" s="38"/>
    </row>
    <row r="16" spans="1:17" s="9" customFormat="1" ht="24.75" customHeight="1" x14ac:dyDescent="0.25">
      <c r="B16" s="148" t="s">
        <v>168</v>
      </c>
      <c r="C16" s="411">
        <v>8.4105638899999988</v>
      </c>
      <c r="D16" s="411">
        <v>8.7321245800000007</v>
      </c>
      <c r="E16" s="414">
        <v>8.8831526899999993</v>
      </c>
      <c r="F16" s="411">
        <v>4.6571033499999999</v>
      </c>
      <c r="G16" s="411">
        <v>9.0210918300000014</v>
      </c>
      <c r="H16" s="414">
        <v>7.6572765000000009</v>
      </c>
      <c r="I16" s="414">
        <v>7.991231379999995</v>
      </c>
      <c r="J16" s="414">
        <v>7.3629195200000002</v>
      </c>
      <c r="K16" s="903">
        <v>8.5886146599999993</v>
      </c>
      <c r="L16" s="415">
        <v>8.1927025499999999</v>
      </c>
      <c r="N16" s="38"/>
      <c r="O16" s="799"/>
      <c r="P16" s="799"/>
      <c r="Q16" s="38"/>
    </row>
    <row r="17" spans="2:17" s="9" customFormat="1" ht="24.75" customHeight="1" x14ac:dyDescent="0.25">
      <c r="B17" s="148" t="s">
        <v>267</v>
      </c>
      <c r="C17" s="411">
        <v>2.4969789900000006</v>
      </c>
      <c r="D17" s="411">
        <v>4.6966844500000002</v>
      </c>
      <c r="E17" s="414">
        <v>4.6484115300000015</v>
      </c>
      <c r="F17" s="411">
        <v>6.1518750799999875</v>
      </c>
      <c r="G17" s="411">
        <v>2.384275060000002</v>
      </c>
      <c r="H17" s="414">
        <v>4.6346469599999978</v>
      </c>
      <c r="I17" s="414">
        <v>9.3269085290000007</v>
      </c>
      <c r="J17" s="414">
        <v>10.07811298</v>
      </c>
      <c r="K17" s="903">
        <v>9.7987212009999993</v>
      </c>
      <c r="L17" s="415">
        <v>10.861927519000002</v>
      </c>
      <c r="N17" s="38"/>
      <c r="O17" s="799"/>
      <c r="P17" s="799"/>
      <c r="Q17" s="38"/>
    </row>
    <row r="18" spans="2:17" s="9" customFormat="1" ht="24.75" customHeight="1" x14ac:dyDescent="0.25">
      <c r="B18" s="148" t="s">
        <v>82</v>
      </c>
      <c r="C18" s="411">
        <v>5.5108601699999999</v>
      </c>
      <c r="D18" s="411">
        <v>6.3258532700000023</v>
      </c>
      <c r="E18" s="414">
        <v>5.9950702399999996</v>
      </c>
      <c r="F18" s="411">
        <v>7.2667043599999976</v>
      </c>
      <c r="G18" s="411">
        <v>6.3150429799999994</v>
      </c>
      <c r="H18" s="414">
        <v>9.5400191999999997</v>
      </c>
      <c r="I18" s="414">
        <v>7.3300495800000007</v>
      </c>
      <c r="J18" s="414">
        <v>7.4460660599999997</v>
      </c>
      <c r="K18" s="903">
        <v>7.7682012</v>
      </c>
      <c r="L18" s="415">
        <v>7.9042192699999987</v>
      </c>
      <c r="N18" s="38"/>
      <c r="O18" s="799"/>
      <c r="P18" s="799"/>
      <c r="Q18" s="38"/>
    </row>
    <row r="19" spans="2:17" s="9" customFormat="1" ht="24.75" customHeight="1" x14ac:dyDescent="0.25">
      <c r="B19" s="148" t="s">
        <v>83</v>
      </c>
      <c r="C19" s="411">
        <v>20.148815599999999</v>
      </c>
      <c r="D19" s="411">
        <v>17.595336230000001</v>
      </c>
      <c r="E19" s="414">
        <v>9.3121021699999957</v>
      </c>
      <c r="F19" s="411">
        <v>13.211706700000001</v>
      </c>
      <c r="G19" s="411">
        <v>24.069207430000006</v>
      </c>
      <c r="H19" s="414">
        <v>13.258684430000002</v>
      </c>
      <c r="I19" s="414">
        <v>12.814937989999997</v>
      </c>
      <c r="J19" s="414">
        <v>11.490254570000005</v>
      </c>
      <c r="K19" s="903">
        <v>27.786285500000002</v>
      </c>
      <c r="L19" s="415">
        <v>13.099806960000006</v>
      </c>
      <c r="N19" s="38"/>
      <c r="O19" s="799"/>
      <c r="P19" s="799"/>
      <c r="Q19" s="38"/>
    </row>
    <row r="20" spans="2:17" s="9" customFormat="1" ht="24.75" customHeight="1" x14ac:dyDescent="0.25">
      <c r="B20" s="148" t="s">
        <v>84</v>
      </c>
      <c r="C20" s="411">
        <v>11.79499994</v>
      </c>
      <c r="D20" s="411">
        <v>6.2131720600000016</v>
      </c>
      <c r="E20" s="414">
        <v>9.0040859999999974</v>
      </c>
      <c r="F20" s="411">
        <v>-7.4928298699999978</v>
      </c>
      <c r="G20" s="411">
        <v>0.26867770000000002</v>
      </c>
      <c r="H20" s="414">
        <v>0.26867770000000002</v>
      </c>
      <c r="I20" s="414">
        <v>0.80603309999999995</v>
      </c>
      <c r="J20" s="414">
        <v>0.22339217</v>
      </c>
      <c r="K20" s="903">
        <v>0.31421676999999998</v>
      </c>
      <c r="L20" s="415">
        <v>0.25588345000000007</v>
      </c>
      <c r="N20" s="38"/>
      <c r="O20" s="799"/>
      <c r="P20" s="799"/>
      <c r="Q20" s="38"/>
    </row>
    <row r="21" spans="2:17" s="9" customFormat="1" ht="24.75" customHeight="1" x14ac:dyDescent="0.25">
      <c r="B21" s="148" t="s">
        <v>429</v>
      </c>
      <c r="C21" s="411">
        <v>16.1404703</v>
      </c>
      <c r="D21" s="411">
        <v>17.173024129999995</v>
      </c>
      <c r="E21" s="414">
        <v>19.223604030000011</v>
      </c>
      <c r="F21" s="411">
        <v>25.974879629999993</v>
      </c>
      <c r="G21" s="411">
        <v>15.055410990000002</v>
      </c>
      <c r="H21" s="414">
        <v>22.42502743999999</v>
      </c>
      <c r="I21" s="414">
        <v>23.043238300999999</v>
      </c>
      <c r="J21" s="414">
        <v>27.674042178999997</v>
      </c>
      <c r="K21" s="903">
        <v>17.965574199999999</v>
      </c>
      <c r="L21" s="415">
        <v>19.664538309999998</v>
      </c>
      <c r="N21" s="38"/>
      <c r="O21" s="799"/>
      <c r="P21" s="799"/>
      <c r="Q21" s="38"/>
    </row>
    <row r="22" spans="2:17" s="9" customFormat="1" ht="24.75" customHeight="1" x14ac:dyDescent="0.25">
      <c r="B22" s="148" t="s">
        <v>85</v>
      </c>
      <c r="C22" s="411">
        <v>10.601301599999999</v>
      </c>
      <c r="D22" s="411">
        <v>10.020759660000005</v>
      </c>
      <c r="E22" s="414">
        <v>7.7644801400000052</v>
      </c>
      <c r="F22" s="411">
        <v>8.8770842099999605</v>
      </c>
      <c r="G22" s="411">
        <v>9.2650941700000011</v>
      </c>
      <c r="H22" s="414">
        <v>8.7544836599999982</v>
      </c>
      <c r="I22" s="414">
        <v>7.4450812900000587</v>
      </c>
      <c r="J22" s="414">
        <v>11.447448470999941</v>
      </c>
      <c r="K22" s="903">
        <v>14.825107468999999</v>
      </c>
      <c r="L22" s="415">
        <v>9.131574981</v>
      </c>
      <c r="N22" s="38"/>
      <c r="O22" s="799"/>
      <c r="P22" s="799"/>
      <c r="Q22" s="38"/>
    </row>
    <row r="23" spans="2:17" s="9" customFormat="1" ht="24.75" customHeight="1" x14ac:dyDescent="0.25">
      <c r="B23" s="473" t="s">
        <v>296</v>
      </c>
      <c r="C23" s="474">
        <f t="shared" ref="C23:D23" si="4">SUM(C15:C22)</f>
        <v>83.157141460000005</v>
      </c>
      <c r="D23" s="474">
        <f t="shared" si="4"/>
        <v>78.428331240000006</v>
      </c>
      <c r="E23" s="474">
        <f t="shared" ref="E23:I23" si="5">SUM(E15:E22)</f>
        <v>73.709217120000019</v>
      </c>
      <c r="F23" s="474">
        <f t="shared" si="5"/>
        <v>64.234738669999928</v>
      </c>
      <c r="G23" s="474">
        <f t="shared" si="5"/>
        <v>72.891067690000014</v>
      </c>
      <c r="H23" s="474">
        <f t="shared" si="5"/>
        <v>73.25513737</v>
      </c>
      <c r="I23" s="474">
        <f t="shared" si="5"/>
        <v>75.398843890000052</v>
      </c>
      <c r="J23" s="474">
        <f t="shared" ref="J23" si="6">SUM(J15:J22)</f>
        <v>81.563970509999933</v>
      </c>
      <c r="K23" s="475">
        <f t="shared" ref="K23:L23" si="7">SUM(K15:K22)</f>
        <v>93.729742059999992</v>
      </c>
      <c r="L23" s="685">
        <f t="shared" si="7"/>
        <v>76.032084330000004</v>
      </c>
      <c r="N23" s="38"/>
      <c r="O23" s="799"/>
      <c r="P23" s="799"/>
      <c r="Q23" s="38"/>
    </row>
    <row r="24" spans="2:17" ht="24.75" customHeight="1" x14ac:dyDescent="0.25">
      <c r="B24" s="480" t="s">
        <v>199</v>
      </c>
      <c r="C24" s="482"/>
      <c r="D24" s="482"/>
      <c r="E24" s="481">
        <v>15.5</v>
      </c>
      <c r="F24" s="482"/>
      <c r="G24" s="482"/>
      <c r="H24" s="481"/>
      <c r="I24" s="481"/>
      <c r="J24" s="481"/>
      <c r="K24" s="909"/>
      <c r="L24" s="483"/>
      <c r="N24" s="38"/>
      <c r="O24" s="799"/>
      <c r="P24" s="52"/>
      <c r="Q24" s="38"/>
    </row>
    <row r="25" spans="2:17" s="9" customFormat="1" ht="24.75" customHeight="1" x14ac:dyDescent="0.25">
      <c r="B25" s="476" t="s">
        <v>80</v>
      </c>
      <c r="C25" s="477">
        <f t="shared" ref="C25" si="8">C23</f>
        <v>83.157141460000005</v>
      </c>
      <c r="D25" s="477">
        <f>D23</f>
        <v>78.428331240000006</v>
      </c>
      <c r="E25" s="477">
        <f t="shared" ref="E25:I25" si="9">SUM(E23:E24)</f>
        <v>89.209217120000019</v>
      </c>
      <c r="F25" s="477">
        <f t="shared" si="9"/>
        <v>64.234738669999928</v>
      </c>
      <c r="G25" s="477">
        <f t="shared" si="9"/>
        <v>72.891067690000014</v>
      </c>
      <c r="H25" s="477">
        <f t="shared" si="9"/>
        <v>73.25513737</v>
      </c>
      <c r="I25" s="477">
        <f t="shared" si="9"/>
        <v>75.398843890000052</v>
      </c>
      <c r="J25" s="477">
        <f>SUM(J23:J24)</f>
        <v>81.563970509999933</v>
      </c>
      <c r="K25" s="478">
        <f>SUM(K23:K24)</f>
        <v>93.729742059999992</v>
      </c>
      <c r="L25" s="479">
        <f>SUM(L23:L24)</f>
        <v>76.032084330000004</v>
      </c>
      <c r="N25" s="38"/>
      <c r="O25" s="799"/>
      <c r="P25" s="52"/>
      <c r="Q25" s="38"/>
    </row>
    <row r="26" spans="2:17" ht="15" customHeight="1" x14ac:dyDescent="0.25">
      <c r="B26" s="447"/>
      <c r="C26" s="448"/>
      <c r="D26" s="448"/>
      <c r="E26" s="448"/>
      <c r="F26" s="448"/>
      <c r="G26" s="448"/>
      <c r="H26" s="448"/>
      <c r="I26" s="448"/>
      <c r="J26" s="448"/>
      <c r="K26" s="448"/>
      <c r="L26" s="448"/>
      <c r="M26" s="44"/>
      <c r="N26" s="38"/>
    </row>
    <row r="27" spans="2:17" ht="17.25" customHeight="1" x14ac:dyDescent="0.25">
      <c r="B27" s="335" t="s">
        <v>484</v>
      </c>
      <c r="C27" s="170"/>
      <c r="D27" s="170"/>
      <c r="E27" s="170"/>
      <c r="F27" s="170"/>
      <c r="G27" s="170"/>
      <c r="H27" s="170"/>
      <c r="I27" s="170"/>
      <c r="J27" s="170"/>
      <c r="K27" s="170"/>
      <c r="L27" s="170"/>
      <c r="M27" s="97"/>
    </row>
    <row r="28" spans="2:17" ht="17.25" customHeight="1" x14ac:dyDescent="0.25">
      <c r="B28" s="949" t="s">
        <v>485</v>
      </c>
      <c r="C28" s="949"/>
      <c r="D28" s="949"/>
      <c r="E28" s="949"/>
      <c r="F28" s="949"/>
      <c r="G28" s="949"/>
      <c r="H28" s="949"/>
      <c r="I28" s="949"/>
      <c r="J28" s="949"/>
      <c r="K28" s="949"/>
      <c r="L28" s="949"/>
    </row>
    <row r="29" spans="2:17" ht="15" customHeight="1" x14ac:dyDescent="0.25">
      <c r="B29" s="468"/>
      <c r="C29" s="468"/>
      <c r="D29" s="468"/>
      <c r="E29" s="468"/>
      <c r="F29" s="468"/>
      <c r="G29" s="468"/>
      <c r="H29" s="468"/>
      <c r="I29" s="468"/>
      <c r="J29" s="468"/>
      <c r="K29" s="468"/>
      <c r="L29" s="468"/>
    </row>
    <row r="30" spans="2:17" x14ac:dyDescent="0.25">
      <c r="B30" s="37"/>
      <c r="C30" s="65"/>
      <c r="D30" s="65"/>
      <c r="E30" s="65"/>
      <c r="F30" s="65"/>
      <c r="G30" s="65"/>
      <c r="H30" s="65"/>
      <c r="I30" s="65"/>
      <c r="J30" s="65"/>
      <c r="K30" s="65"/>
      <c r="L30" s="37"/>
    </row>
    <row r="31" spans="2:17" ht="24.75" customHeight="1" x14ac:dyDescent="0.25">
      <c r="B31" s="37"/>
      <c r="C31" s="37"/>
      <c r="D31" s="37"/>
      <c r="E31" s="37"/>
      <c r="F31" s="37"/>
      <c r="G31" s="37"/>
      <c r="H31" s="37"/>
      <c r="I31" s="37"/>
      <c r="J31" s="37"/>
      <c r="K31" s="37"/>
      <c r="L31" s="37"/>
    </row>
  </sheetData>
  <mergeCells count="2">
    <mergeCell ref="B5:L5"/>
    <mergeCell ref="B28:L28"/>
  </mergeCells>
  <hyperlinks>
    <hyperlink ref="L2" location="'Cover '!A1" display="Back to Cover" xr:uid="{7D25B963-41F9-47CA-8282-B5E2D66E19C1}"/>
  </hyperlinks>
  <pageMargins left="0.7" right="0.7" top="0.75" bottom="0.75" header="0.3" footer="0.3"/>
  <pageSetup scale="5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23</vt:i4>
      </vt:variant>
    </vt:vector>
  </HeadingPairs>
  <TitlesOfParts>
    <vt:vector size="41" baseType="lpstr">
      <vt:lpstr>Cover </vt:lpstr>
      <vt:lpstr>Financial highlights</vt:lpstr>
      <vt:lpstr>EPS calculations</vt:lpstr>
      <vt:lpstr>Balance sheet</vt:lpstr>
      <vt:lpstr> Analysis of selected BS items</vt:lpstr>
      <vt:lpstr>PL</vt:lpstr>
      <vt:lpstr>NII</vt:lpstr>
      <vt:lpstr>NFI</vt:lpstr>
      <vt:lpstr>OPEX</vt:lpstr>
      <vt:lpstr>PL segment view</vt:lpstr>
      <vt:lpstr>Performing loans</vt:lpstr>
      <vt:lpstr>Loan portfolio quality</vt:lpstr>
      <vt:lpstr>IFRS9 stages</vt:lpstr>
      <vt:lpstr>NPE flow decomposition</vt:lpstr>
      <vt:lpstr>Capital adequacy</vt:lpstr>
      <vt:lpstr>Debt securities</vt:lpstr>
      <vt:lpstr>Synthetic securitizations</vt:lpstr>
      <vt:lpstr>Other information</vt:lpstr>
      <vt:lpstr>NPE_flow_decomposition</vt:lpstr>
      <vt:lpstr>' Analysis of selected BS items'!Print_Area</vt:lpstr>
      <vt:lpstr>'Balance sheet'!Print_Area</vt:lpstr>
      <vt:lpstr>'Capital adequacy'!Print_Area</vt:lpstr>
      <vt:lpstr>'Cover '!Print_Area</vt:lpstr>
      <vt:lpstr>'Debt securities'!Print_Area</vt:lpstr>
      <vt:lpstr>'EPS calculations'!Print_Area</vt:lpstr>
      <vt:lpstr>'Financial highlights'!Print_Area</vt:lpstr>
      <vt:lpstr>'IFRS9 stages'!Print_Area</vt:lpstr>
      <vt:lpstr>'Loan portfolio quality'!Print_Area</vt:lpstr>
      <vt:lpstr>NFI!Print_Area</vt:lpstr>
      <vt:lpstr>NII!Print_Area</vt:lpstr>
      <vt:lpstr>'NPE flow decomposition'!Print_Area</vt:lpstr>
      <vt:lpstr>OPEX!Print_Area</vt:lpstr>
      <vt:lpstr>'Other information'!Print_Area</vt:lpstr>
      <vt:lpstr>'Performing loans'!Print_Area</vt:lpstr>
      <vt:lpstr>PL!Print_Area</vt:lpstr>
      <vt:lpstr>'PL segment view'!Print_Area</vt:lpstr>
      <vt:lpstr>'Synthetic securitizations'!Print_Area</vt:lpstr>
      <vt:lpstr>'Capital adequacy'!Print_Titles</vt:lpstr>
      <vt:lpstr>'Other information'!Print_Titles</vt:lpstr>
      <vt:lpstr>PL!Print_Titles</vt:lpstr>
      <vt:lpstr>'PL segment view'!Print_Titles</vt:lpstr>
    </vt:vector>
  </TitlesOfParts>
  <Company>PIRAEUSBANK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Piraeus Bank Results</dc:title>
  <dc:creator>IR@piraeusholdings.gr</dc:creator>
  <cp:keywords>2014</cp:keywords>
  <cp:lastModifiedBy>Papageorgiou Evangelia</cp:lastModifiedBy>
  <cp:lastPrinted>2024-05-22T12:22:07Z</cp:lastPrinted>
  <dcterms:created xsi:type="dcterms:W3CDTF">2005-02-23T10:11:28Z</dcterms:created>
  <dcterms:modified xsi:type="dcterms:W3CDTF">2025-07-30T04:32:14Z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MSIP_Label_958c1004-b24f-4bde-8aad-2ae45b2e013d_Enabled">
    <vt:lpwstr>true</vt:lpwstr>
  </property>
  <property fmtid="{D5CDD505-2E9C-101B-9397-08002B2CF9AE}" pid="4" name="MSIP_Label_958c1004-b24f-4bde-8aad-2ae45b2e013d_SetDate">
    <vt:lpwstr>2022-05-04T13:11:18Z</vt:lpwstr>
  </property>
  <property fmtid="{D5CDD505-2E9C-101B-9397-08002B2CF9AE}" pid="5" name="MSIP_Label_958c1004-b24f-4bde-8aad-2ae45b2e013d_Method">
    <vt:lpwstr>Standard</vt:lpwstr>
  </property>
  <property fmtid="{D5CDD505-2E9C-101B-9397-08002B2CF9AE}" pid="6" name="MSIP_Label_958c1004-b24f-4bde-8aad-2ae45b2e013d_Name">
    <vt:lpwstr>Internal Use</vt:lpwstr>
  </property>
  <property fmtid="{D5CDD505-2E9C-101B-9397-08002B2CF9AE}" pid="7" name="MSIP_Label_958c1004-b24f-4bde-8aad-2ae45b2e013d_SiteId">
    <vt:lpwstr>4f1b3dbb-846d-4206-92b5-ac1cf048dbb2</vt:lpwstr>
  </property>
  <property fmtid="{D5CDD505-2E9C-101B-9397-08002B2CF9AE}" pid="8" name="MSIP_Label_958c1004-b24f-4bde-8aad-2ae45b2e013d_ActionId">
    <vt:lpwstr>8a4fb628-3f3e-4ff6-962d-dc00159c9c3e</vt:lpwstr>
  </property>
  <property fmtid="{D5CDD505-2E9C-101B-9397-08002B2CF9AE}" pid="9" name="MSIP_Label_958c1004-b24f-4bde-8aad-2ae45b2e013d_ContentBits">
    <vt:lpwstr>0</vt:lpwstr>
  </property>
</Properties>
</file>